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firstSheet="4" activeTab="4"/>
  </bookViews>
  <sheets>
    <sheet name="彙總表91第4季" sheetId="1" r:id="rId1"/>
    <sheet name="彙總表92第1季" sheetId="2" r:id="rId2"/>
    <sheet name="彙總表92第2季" sheetId="3" r:id="rId3"/>
    <sheet name="彙總表92第3季" sheetId="4" r:id="rId4"/>
    <sheet name="彙總表94第4季 " sheetId="5" r:id="rId5"/>
  </sheets>
  <definedNames/>
  <calcPr fullCalcOnLoad="1"/>
</workbook>
</file>

<file path=xl/sharedStrings.xml><?xml version="1.0" encoding="utf-8"?>
<sst xmlns="http://schemas.openxmlformats.org/spreadsheetml/2006/main" count="237" uniqueCount="143">
  <si>
    <t>八十三年下半年度</t>
  </si>
  <si>
    <t>─</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</si>
  <si>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</si>
  <si>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</si>
  <si>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</si>
  <si>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</si>
  <si>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</si>
  <si>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</si>
  <si>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</si>
  <si>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</si>
  <si>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</si>
  <si>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</si>
  <si>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</si>
  <si>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</si>
  <si>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註2：本表之已歸入金額為應行使金額暨其利息之加總,但申復同意免行使金額不包括在內</t>
  </si>
  <si>
    <t>八十九年上半年度</t>
  </si>
  <si>
    <t>註1：本表之總結案數包括已歸入結案案件，申復同意免行使案件與公司已依法取得法院債權憑證之案件</t>
  </si>
  <si>
    <t>八十九年下半年度</t>
  </si>
  <si>
    <t>案件總數</t>
  </si>
  <si>
    <t>應行使金額</t>
  </si>
  <si>
    <t>總結案數</t>
  </si>
  <si>
    <t>已歸入金額</t>
  </si>
  <si>
    <t>未結案數</t>
  </si>
  <si>
    <t>催促行使</t>
  </si>
  <si>
    <t>進入法律程序</t>
  </si>
  <si>
    <t>申復</t>
  </si>
  <si>
    <t>九十年上半年度</t>
  </si>
  <si>
    <t>九十年下半年度</t>
  </si>
  <si>
    <t>─</t>
  </si>
  <si>
    <r>
      <t>九十一年度第</t>
    </r>
    <r>
      <rPr>
        <b/>
        <sz val="9"/>
        <rFont val="Times New Roman"/>
        <family val="1"/>
      </rPr>
      <t xml:space="preserve"> </t>
    </r>
    <r>
      <rPr>
        <b/>
        <sz val="9"/>
        <rFont val="新細明體"/>
        <family val="1"/>
      </rPr>
      <t>四季結案數</t>
    </r>
  </si>
  <si>
    <t>九十一年度第四季結案金額</t>
  </si>
  <si>
    <t>九十一年度截至第四季為止結案數</t>
  </si>
  <si>
    <t>九十一年度截至第四季為止結案金額</t>
  </si>
  <si>
    <t>九十一年上半年度</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</si>
  <si>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</si>
  <si>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</si>
  <si>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</si>
  <si>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</si>
  <si>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</si>
  <si>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</si>
  <si>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</si>
  <si>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</si>
  <si>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</si>
  <si>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</si>
  <si>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</si>
  <si>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</si>
  <si>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</si>
  <si>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</si>
  <si>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</si>
  <si>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</si>
  <si>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</si>
  <si>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</si>
  <si>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</si>
  <si>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</si>
  <si>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</si>
  <si>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</si>
  <si>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</si>
  <si>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</si>
  <si>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</si>
  <si>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</si>
  <si>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註1：本表之總結案數包括已歸入結案案件，申復同意免行使案件與公司已依法取得法院債權憑證之案件</t>
  </si>
  <si>
    <t>九十二年度截至第一季為止結案金額</t>
  </si>
  <si>
    <t>九十二年度截至第一季為止結案數</t>
  </si>
  <si>
    <t>九十二年度第一季結案金額</t>
  </si>
  <si>
    <t>九十二年度第一季結案數</t>
  </si>
  <si>
    <t>註2：本表之已歸入金額八十六年以前為應行使金額暨利息之加總,八十七年以後為應歸入金額暨申復同意免行使金額及簽結金額之加總</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</si>
  <si>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</si>
  <si>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</si>
  <si>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</si>
  <si>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</si>
  <si>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</si>
  <si>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</si>
  <si>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</si>
  <si>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</si>
  <si>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</si>
  <si>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</si>
  <si>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</si>
  <si>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</si>
  <si>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</si>
  <si>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</si>
  <si>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</si>
  <si>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</si>
  <si>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</si>
  <si>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</si>
  <si>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</si>
  <si>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</si>
  <si>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</si>
  <si>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</si>
  <si>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</si>
  <si>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</si>
  <si>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</si>
  <si>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</si>
  <si>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註1：本表之總結案數包括已歸入結案案件，申復同意免行使案件與公司已依法取得法院債權憑證之案件</t>
  </si>
  <si>
    <t>註2：本表之已歸入金額八十六年以前為應行使金額暨利息之加總,八十七年以後為應歸入金額暨申復同意免行使金額及簽結金額之加總</t>
  </si>
  <si>
    <t>九十二年度第二季結案金額</t>
  </si>
  <si>
    <r>
      <t>九十二年度第</t>
    </r>
    <r>
      <rPr>
        <b/>
        <sz val="9"/>
        <rFont val="新細明體"/>
        <family val="1"/>
      </rPr>
      <t>二季結案數</t>
    </r>
  </si>
  <si>
    <t>九十二年度截至第二季為止結案數</t>
  </si>
  <si>
    <t>九十二年度截至第二季為止結案金額</t>
  </si>
  <si>
    <t>九十一年下半年度</t>
  </si>
  <si>
    <t>九十一年下半年度</t>
  </si>
  <si>
    <t>註2：本表之已歸入金額八十六年以前為應行使金額暨利息之加總,八十七年以後為應歸入金額暨申復同意免行使金額及簽結金額之加總</t>
  </si>
  <si>
    <t>九十二年度第三季結案金額</t>
  </si>
  <si>
    <r>
      <t>九十二年度第三</t>
    </r>
    <r>
      <rPr>
        <b/>
        <sz val="9"/>
        <rFont val="Times New Roman"/>
        <family val="1"/>
      </rPr>
      <t xml:space="preserve"> </t>
    </r>
    <r>
      <rPr>
        <b/>
        <sz val="9"/>
        <rFont val="新細明體"/>
        <family val="1"/>
      </rPr>
      <t>季結案數</t>
    </r>
  </si>
  <si>
    <t>九十二年度截至第三季為止結案數</t>
  </si>
  <si>
    <t>九十二年度截至第三季為止結案金額</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</si>
  <si>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</si>
  <si>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</si>
  <si>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</si>
  <si>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</si>
  <si>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</si>
  <si>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</si>
  <si>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</si>
  <si>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</si>
  <si>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</si>
  <si>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</si>
  <si>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</si>
  <si>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</si>
  <si>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</si>
  <si>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</si>
  <si>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</si>
  <si>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</si>
  <si>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</si>
  <si>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</si>
  <si>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</si>
  <si>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</si>
  <si>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</si>
  <si>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</si>
  <si>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</si>
  <si>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</si>
  <si>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</si>
  <si>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</si>
  <si>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</si>
  <si>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</si>
  <si>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</si>
  <si>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</si>
  <si>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總計</t>
  </si>
  <si>
    <r>
      <t>註</t>
    </r>
    <r>
      <rPr>
        <b/>
        <sz val="10"/>
        <rFont val="Times New Roman"/>
        <family val="1"/>
      </rPr>
      <t>1</t>
    </r>
    <r>
      <rPr>
        <b/>
        <sz val="10"/>
        <rFont val="細明體"/>
        <family val="3"/>
      </rPr>
      <t>：本表之總結案數包括已歸入結案案件，申復同意免行使案件與公司已依法取得法院債權憑證之案件</t>
    </r>
  </si>
  <si>
    <r>
      <t>註</t>
    </r>
    <r>
      <rPr>
        <b/>
        <sz val="10"/>
        <rFont val="Times New Roman"/>
        <family val="1"/>
      </rPr>
      <t>2</t>
    </r>
    <r>
      <rPr>
        <b/>
        <sz val="10"/>
        <rFont val="新細明體"/>
        <family val="1"/>
      </rPr>
      <t>：本表之已歸入金額八十六年以前為應行使金額暨利息之加總</t>
    </r>
    <r>
      <rPr>
        <b/>
        <sz val="10"/>
        <rFont val="Times New Roman"/>
        <family val="1"/>
      </rPr>
      <t>,</t>
    </r>
    <r>
      <rPr>
        <b/>
        <sz val="10"/>
        <rFont val="新細明體"/>
        <family val="1"/>
      </rPr>
      <t>八十七年以後為應歸入金額暨申復同意免行使金額之加總</t>
    </r>
  </si>
  <si>
    <t>九十四年上半年度</t>
  </si>
  <si>
    <t>九十四年度第四季結案數</t>
  </si>
  <si>
    <t>九十四年度第四季結案金額</t>
  </si>
  <si>
    <t>九十四年度截至第四季為止結案數</t>
  </si>
  <si>
    <t>九十四年度截至第四季為止結案金額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</si>
</sst>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6">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9"/>
      <name val="Times New Roman"/>
      <family val="1"/>
    </font>
    <font>
      <b/>
      <sz val="11"/>
      <name val="新細明體"/>
      <family val="1"/>
    </font>
    <font>
      <sz val="11"/>
      <name val="Times New Roman"/>
      <family val="1"/>
    </font>
    <font>
      <sz val="9"/>
      <name val="Times New Roman"/>
      <family val="1"/>
    </font>
    <font>
      <b/>
      <sz val="10"/>
      <name val="Times New Roman"/>
      <family val="1"/>
    </font>
    <font>
      <b/>
      <sz val="10"/>
      <name val="細明體"/>
      <family val="3"/>
    </font>
    <font>
      <b/>
      <sz val="11"/>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8">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Border="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10" fillId="0" borderId="1" xfId="0" applyNumberFormat="1" applyFont="1" applyBorder="1" applyAlignment="1">
      <alignment horizontal="center" vertical="center"/>
    </xf>
    <xf numFmtId="37" fontId="10" fillId="0" borderId="1" xfId="18" applyNumberFormat="1" applyFont="1" applyBorder="1" applyAlignment="1">
      <alignment horizontal="center" vertical="center"/>
    </xf>
    <xf numFmtId="37" fontId="10" fillId="0" borderId="1" xfId="15" applyNumberFormat="1" applyFont="1" applyBorder="1" applyAlignment="1">
      <alignment horizontal="center" vertical="center"/>
      <protection/>
    </xf>
    <xf numFmtId="3" fontId="10" fillId="0" borderId="1" xfId="15" applyNumberFormat="1" applyFont="1" applyBorder="1" applyAlignment="1">
      <alignment horizontal="center" vertical="center"/>
      <protection/>
    </xf>
    <xf numFmtId="0" fontId="10" fillId="0" borderId="1" xfId="15" applyFont="1" applyBorder="1" applyAlignment="1">
      <alignment horizontal="center" vertical="center"/>
      <protection/>
    </xf>
    <xf numFmtId="0" fontId="10" fillId="0" borderId="1" xfId="15" applyFont="1" applyBorder="1" applyAlignment="1" applyProtection="1">
      <alignment horizontal="center" vertical="center"/>
      <protection locked="0"/>
    </xf>
    <xf numFmtId="0" fontId="10"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1" fillId="0" borderId="0" xfId="15" applyFont="1" applyBorder="1">
      <alignment/>
      <protection/>
    </xf>
    <xf numFmtId="0" fontId="11" fillId="0" borderId="0" xfId="15" applyFont="1" applyBorder="1" applyAlignment="1">
      <alignment horizontal="center"/>
      <protection/>
    </xf>
    <xf numFmtId="0" fontId="11" fillId="0" borderId="0" xfId="15" applyFont="1" applyBorder="1" applyAlignment="1" applyProtection="1">
      <alignment/>
      <protection locked="0"/>
    </xf>
    <xf numFmtId="0" fontId="11"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2" fillId="2" borderId="0" xfId="15" applyFont="1" applyFill="1">
      <alignment/>
      <protection/>
    </xf>
    <xf numFmtId="191" fontId="10" fillId="0" borderId="1" xfId="16" applyNumberFormat="1" applyFont="1" applyBorder="1" applyAlignment="1">
      <alignment horizontal="center" vertical="center"/>
    </xf>
    <xf numFmtId="3" fontId="15" fillId="0" borderId="1" xfId="15" applyNumberFormat="1" applyFont="1" applyBorder="1" applyAlignment="1">
      <alignment horizontal="center" vertical="center"/>
      <protection/>
    </xf>
    <xf numFmtId="0" fontId="15" fillId="0" borderId="1" xfId="15" applyFont="1" applyBorder="1" applyAlignment="1">
      <alignment horizontal="center" vertical="center"/>
      <protection/>
    </xf>
    <xf numFmtId="0" fontId="5" fillId="0" borderId="0" xfId="15" applyFont="1" applyAlignment="1" applyProtection="1">
      <alignment horizontal="left" wrapText="1"/>
      <protection locked="0"/>
    </xf>
    <xf numFmtId="0" fontId="5" fillId="0" borderId="0" xfId="15" applyFont="1" applyAlignment="1">
      <alignment horizontal="center"/>
      <protection/>
    </xf>
    <xf numFmtId="0" fontId="14" fillId="0" borderId="2" xfId="15" applyFont="1" applyBorder="1" applyAlignment="1">
      <alignment/>
      <protection/>
    </xf>
    <xf numFmtId="0" fontId="0" fillId="0" borderId="2" xfId="0" applyBorder="1" applyAlignment="1">
      <alignment/>
    </xf>
    <xf numFmtId="0" fontId="0" fillId="0" borderId="0" xfId="0" applyAlignment="1">
      <alignment/>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7"/>
  <sheetViews>
    <sheetView workbookViewId="0" topLeftCell="A4">
      <selection activeCell="L30" sqref="L30"/>
    </sheetView>
  </sheetViews>
  <sheetFormatPr defaultColWidth="9.00390625" defaultRowHeight="30" customHeight="1"/>
  <cols>
    <col min="1" max="1" width="16.75390625" style="1" customWidth="1"/>
    <col min="2" max="2" width="6.50390625" style="1" customWidth="1"/>
    <col min="3" max="3" width="13.125" style="11" customWidth="1"/>
    <col min="4" max="4" width="5.75390625" style="1" customWidth="1"/>
    <col min="5" max="5" width="11.7539062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12</v>
      </c>
      <c r="B1" s="26" t="s">
        <v>18</v>
      </c>
      <c r="C1" s="26" t="s">
        <v>19</v>
      </c>
      <c r="D1" s="27" t="s">
        <v>20</v>
      </c>
      <c r="E1" s="26" t="s">
        <v>21</v>
      </c>
      <c r="F1" s="27" t="s">
        <v>22</v>
      </c>
      <c r="G1" s="26" t="s">
        <v>23</v>
      </c>
      <c r="H1" s="26" t="s">
        <v>24</v>
      </c>
      <c r="I1" s="26" t="s">
        <v>25</v>
      </c>
      <c r="J1" s="28" t="s">
        <v>29</v>
      </c>
      <c r="K1" s="28" t="s">
        <v>30</v>
      </c>
      <c r="L1" s="21" t="s">
        <v>31</v>
      </c>
      <c r="M1" s="21" t="s">
        <v>32</v>
      </c>
    </row>
    <row r="2" spans="1:13" s="3" customFormat="1" ht="24.75" customHeight="1">
      <c r="A2" s="13" t="s">
        <v>0</v>
      </c>
      <c r="B2" s="18">
        <v>84</v>
      </c>
      <c r="C2" s="15">
        <v>80270024</v>
      </c>
      <c r="D2" s="19">
        <v>84</v>
      </c>
      <c r="E2" s="16">
        <v>77717537</v>
      </c>
      <c r="F2" s="18" t="s">
        <v>1</v>
      </c>
      <c r="G2" s="18" t="s">
        <v>1</v>
      </c>
      <c r="H2" s="18" t="s">
        <v>1</v>
      </c>
      <c r="I2" s="18" t="s">
        <v>1</v>
      </c>
      <c r="J2" s="18" t="s">
        <v>1</v>
      </c>
      <c r="K2" s="18" t="s">
        <v>1</v>
      </c>
      <c r="L2" s="18" t="s">
        <v>1</v>
      </c>
      <c r="M2" s="18" t="s">
        <v>1</v>
      </c>
    </row>
    <row r="3" spans="1:13" s="3" customFormat="1" ht="24.75" customHeight="1">
      <c r="A3" s="13" t="s">
        <v>2</v>
      </c>
      <c r="B3" s="18">
        <v>57</v>
      </c>
      <c r="C3" s="15">
        <v>20495283</v>
      </c>
      <c r="D3" s="19">
        <v>56</v>
      </c>
      <c r="E3" s="16">
        <v>18659741</v>
      </c>
      <c r="F3" s="19">
        <v>1</v>
      </c>
      <c r="G3" s="18" t="s">
        <v>1</v>
      </c>
      <c r="H3" s="18">
        <v>1</v>
      </c>
      <c r="I3" s="18" t="s">
        <v>1</v>
      </c>
      <c r="J3" s="18" t="s">
        <v>1</v>
      </c>
      <c r="K3" s="18" t="s">
        <v>1</v>
      </c>
      <c r="L3" s="18" t="s">
        <v>1</v>
      </c>
      <c r="M3" s="18" t="s">
        <v>1</v>
      </c>
    </row>
    <row r="4" spans="1:13" s="3" customFormat="1" ht="24.75" customHeight="1">
      <c r="A4" s="13" t="s">
        <v>3</v>
      </c>
      <c r="B4" s="18">
        <v>129</v>
      </c>
      <c r="C4" s="15">
        <v>63325559</v>
      </c>
      <c r="D4" s="19">
        <v>128</v>
      </c>
      <c r="E4" s="16">
        <v>54518849</v>
      </c>
      <c r="F4" s="19">
        <v>1</v>
      </c>
      <c r="G4" s="18" t="s">
        <v>1</v>
      </c>
      <c r="H4" s="18">
        <v>1</v>
      </c>
      <c r="I4" s="18" t="s">
        <v>1</v>
      </c>
      <c r="J4" s="18" t="s">
        <v>1</v>
      </c>
      <c r="K4" s="18" t="s">
        <v>1</v>
      </c>
      <c r="L4" s="18" t="s">
        <v>1</v>
      </c>
      <c r="M4" s="18" t="s">
        <v>1</v>
      </c>
    </row>
    <row r="5" spans="1:13" s="3" customFormat="1" ht="24.75" customHeight="1">
      <c r="A5" s="13" t="s">
        <v>4</v>
      </c>
      <c r="B5" s="18">
        <v>117</v>
      </c>
      <c r="C5" s="15">
        <v>107710560</v>
      </c>
      <c r="D5" s="19">
        <v>115</v>
      </c>
      <c r="E5" s="16">
        <v>64161343</v>
      </c>
      <c r="F5" s="19">
        <v>2</v>
      </c>
      <c r="G5" s="18">
        <v>1</v>
      </c>
      <c r="H5" s="18">
        <v>1</v>
      </c>
      <c r="I5" s="18" t="s">
        <v>1</v>
      </c>
      <c r="J5" s="18" t="s">
        <v>1</v>
      </c>
      <c r="K5" s="18" t="s">
        <v>1</v>
      </c>
      <c r="L5" s="18" t="s">
        <v>1</v>
      </c>
      <c r="M5" s="18" t="s">
        <v>1</v>
      </c>
    </row>
    <row r="6" spans="1:13" s="3" customFormat="1" ht="24.75" customHeight="1">
      <c r="A6" s="13" t="s">
        <v>5</v>
      </c>
      <c r="B6" s="18">
        <v>98</v>
      </c>
      <c r="C6" s="15">
        <v>64898557</v>
      </c>
      <c r="D6" s="19">
        <v>95</v>
      </c>
      <c r="E6" s="15">
        <v>32412071</v>
      </c>
      <c r="F6" s="19">
        <v>3</v>
      </c>
      <c r="G6" s="18" t="s">
        <v>1</v>
      </c>
      <c r="H6" s="18">
        <v>3</v>
      </c>
      <c r="I6" s="18" t="s">
        <v>1</v>
      </c>
      <c r="J6" s="18" t="s">
        <v>1</v>
      </c>
      <c r="K6" s="17" t="s">
        <v>1</v>
      </c>
      <c r="L6" s="18" t="s">
        <v>1</v>
      </c>
      <c r="M6" s="18" t="s">
        <v>1</v>
      </c>
    </row>
    <row r="7" spans="1:13" s="3" customFormat="1" ht="24.75" customHeight="1">
      <c r="A7" s="13" t="s">
        <v>7</v>
      </c>
      <c r="B7" s="18">
        <f>82+146</f>
        <v>228</v>
      </c>
      <c r="C7" s="16">
        <v>118576472</v>
      </c>
      <c r="D7" s="19">
        <v>219</v>
      </c>
      <c r="E7" s="16">
        <v>83083143</v>
      </c>
      <c r="F7" s="19">
        <v>9</v>
      </c>
      <c r="G7" s="18">
        <v>2</v>
      </c>
      <c r="H7" s="18">
        <v>7</v>
      </c>
      <c r="I7" s="18" t="s">
        <v>1</v>
      </c>
      <c r="J7" s="18" t="s">
        <v>1</v>
      </c>
      <c r="K7" s="18" t="s">
        <v>1</v>
      </c>
      <c r="L7" s="18" t="s">
        <v>1</v>
      </c>
      <c r="M7" s="18" t="s">
        <v>1</v>
      </c>
    </row>
    <row r="8" spans="1:13" s="3" customFormat="1" ht="24.75" customHeight="1">
      <c r="A8" s="13" t="s">
        <v>8</v>
      </c>
      <c r="B8" s="18">
        <f>78+114</f>
        <v>192</v>
      </c>
      <c r="C8" s="16">
        <v>147126764</v>
      </c>
      <c r="D8" s="19">
        <v>184</v>
      </c>
      <c r="E8" s="16">
        <v>55506774</v>
      </c>
      <c r="F8" s="19">
        <v>8</v>
      </c>
      <c r="G8" s="18">
        <v>1</v>
      </c>
      <c r="H8" s="18">
        <v>7</v>
      </c>
      <c r="I8" s="18" t="s">
        <v>1</v>
      </c>
      <c r="J8" s="18" t="s">
        <v>1</v>
      </c>
      <c r="K8" s="18" t="s">
        <v>1</v>
      </c>
      <c r="L8" s="18" t="s">
        <v>1</v>
      </c>
      <c r="M8" s="18" t="s">
        <v>1</v>
      </c>
    </row>
    <row r="9" spans="1:13" s="3" customFormat="1" ht="24.75" customHeight="1">
      <c r="A9" s="13" t="s">
        <v>9</v>
      </c>
      <c r="B9" s="18">
        <f>72+104</f>
        <v>176</v>
      </c>
      <c r="C9" s="16">
        <v>826821959</v>
      </c>
      <c r="D9" s="19">
        <v>168</v>
      </c>
      <c r="E9" s="16">
        <v>68710797</v>
      </c>
      <c r="F9" s="19">
        <v>8</v>
      </c>
      <c r="G9" s="18" t="s">
        <v>1</v>
      </c>
      <c r="H9" s="18">
        <v>8</v>
      </c>
      <c r="I9" s="18" t="s">
        <v>1</v>
      </c>
      <c r="J9" s="18" t="s">
        <v>1</v>
      </c>
      <c r="K9" s="18" t="s">
        <v>1</v>
      </c>
      <c r="L9" s="18" t="s">
        <v>1</v>
      </c>
      <c r="M9" s="18" t="s">
        <v>1</v>
      </c>
    </row>
    <row r="10" spans="1:13" s="3" customFormat="1" ht="24.75" customHeight="1">
      <c r="A10" s="13" t="s">
        <v>10</v>
      </c>
      <c r="B10" s="18">
        <f>84+93</f>
        <v>177</v>
      </c>
      <c r="C10" s="16">
        <v>159294237</v>
      </c>
      <c r="D10" s="19">
        <v>168</v>
      </c>
      <c r="E10" s="16">
        <v>39324821</v>
      </c>
      <c r="F10" s="19">
        <v>9</v>
      </c>
      <c r="G10" s="18">
        <v>1</v>
      </c>
      <c r="H10" s="18">
        <v>8</v>
      </c>
      <c r="I10" s="18" t="s">
        <v>1</v>
      </c>
      <c r="J10" s="18" t="s">
        <v>1</v>
      </c>
      <c r="K10" s="18" t="s">
        <v>1</v>
      </c>
      <c r="L10" s="18" t="s">
        <v>1</v>
      </c>
      <c r="M10" s="18" t="s">
        <v>1</v>
      </c>
    </row>
    <row r="11" spans="1:13" s="3" customFormat="1" ht="24.75" customHeight="1">
      <c r="A11" s="13" t="s">
        <v>11</v>
      </c>
      <c r="B11" s="18">
        <f>102+103</f>
        <v>205</v>
      </c>
      <c r="C11" s="16">
        <v>117010423</v>
      </c>
      <c r="D11" s="18">
        <v>203</v>
      </c>
      <c r="E11" s="17">
        <v>101472297</v>
      </c>
      <c r="F11" s="18">
        <v>2</v>
      </c>
      <c r="G11" s="18">
        <v>1</v>
      </c>
      <c r="H11" s="18">
        <v>1</v>
      </c>
      <c r="I11" s="18" t="s">
        <v>1</v>
      </c>
      <c r="J11" s="18" t="s">
        <v>1</v>
      </c>
      <c r="K11" s="18" t="s">
        <v>1</v>
      </c>
      <c r="L11" s="18" t="s">
        <v>1</v>
      </c>
      <c r="M11" s="18" t="s">
        <v>1</v>
      </c>
    </row>
    <row r="12" spans="1:13" s="3" customFormat="1" ht="24.75" customHeight="1">
      <c r="A12" s="13" t="s">
        <v>13</v>
      </c>
      <c r="B12" s="18">
        <v>211</v>
      </c>
      <c r="C12" s="16">
        <v>107859401</v>
      </c>
      <c r="D12" s="18">
        <v>207</v>
      </c>
      <c r="E12" s="17">
        <v>53314045</v>
      </c>
      <c r="F12" s="18">
        <v>4</v>
      </c>
      <c r="G12" s="18">
        <v>1</v>
      </c>
      <c r="H12" s="18">
        <v>3</v>
      </c>
      <c r="I12" s="18" t="s">
        <v>1</v>
      </c>
      <c r="J12" s="18" t="s">
        <v>1</v>
      </c>
      <c r="K12" s="18" t="s">
        <v>1</v>
      </c>
      <c r="L12" s="18">
        <v>1</v>
      </c>
      <c r="M12" s="14">
        <v>1809914</v>
      </c>
    </row>
    <row r="13" spans="1:13" s="3" customFormat="1" ht="24.75" customHeight="1">
      <c r="A13" s="13" t="s">
        <v>15</v>
      </c>
      <c r="B13" s="18">
        <v>245</v>
      </c>
      <c r="C13" s="16">
        <v>130138832</v>
      </c>
      <c r="D13" s="18">
        <v>240</v>
      </c>
      <c r="E13" s="17">
        <v>86414309</v>
      </c>
      <c r="F13" s="18">
        <v>5</v>
      </c>
      <c r="G13" s="18">
        <v>3</v>
      </c>
      <c r="H13" s="18">
        <v>2</v>
      </c>
      <c r="I13" s="18" t="s">
        <v>1</v>
      </c>
      <c r="J13" s="18" t="s">
        <v>28</v>
      </c>
      <c r="K13" s="17" t="s">
        <v>28</v>
      </c>
      <c r="L13" s="17">
        <v>2</v>
      </c>
      <c r="M13" s="14">
        <v>4140257</v>
      </c>
    </row>
    <row r="14" spans="1:13" s="3" customFormat="1" ht="24.75" customHeight="1">
      <c r="A14" s="13" t="s">
        <v>17</v>
      </c>
      <c r="B14" s="18">
        <v>196</v>
      </c>
      <c r="C14" s="16">
        <v>103238355</v>
      </c>
      <c r="D14" s="18">
        <v>184</v>
      </c>
      <c r="E14" s="17">
        <v>86632125</v>
      </c>
      <c r="F14" s="18">
        <v>12</v>
      </c>
      <c r="G14" s="18">
        <v>10</v>
      </c>
      <c r="H14" s="18">
        <v>1</v>
      </c>
      <c r="I14" s="18">
        <v>1</v>
      </c>
      <c r="J14" s="18" t="s">
        <v>28</v>
      </c>
      <c r="K14" s="14" t="s">
        <v>28</v>
      </c>
      <c r="L14" s="18">
        <v>7</v>
      </c>
      <c r="M14" s="17">
        <v>41446844</v>
      </c>
    </row>
    <row r="15" spans="1:13" s="3" customFormat="1" ht="24.75" customHeight="1">
      <c r="A15" s="13" t="s">
        <v>26</v>
      </c>
      <c r="B15" s="18">
        <v>174</v>
      </c>
      <c r="C15" s="16">
        <v>31415440</v>
      </c>
      <c r="D15" s="18">
        <v>162</v>
      </c>
      <c r="E15" s="17">
        <v>26577605</v>
      </c>
      <c r="F15" s="18">
        <v>9</v>
      </c>
      <c r="G15" s="18">
        <v>6</v>
      </c>
      <c r="H15" s="18">
        <v>2</v>
      </c>
      <c r="I15" s="18">
        <v>1</v>
      </c>
      <c r="J15" s="20">
        <v>4</v>
      </c>
      <c r="K15" s="14">
        <v>915619</v>
      </c>
      <c r="L15" s="14">
        <v>38</v>
      </c>
      <c r="M15" s="17">
        <v>8865712</v>
      </c>
    </row>
    <row r="16" spans="1:13" s="3" customFormat="1" ht="24.75" customHeight="1">
      <c r="A16" s="13" t="s">
        <v>27</v>
      </c>
      <c r="B16" s="18">
        <v>147</v>
      </c>
      <c r="C16" s="16">
        <v>52568653</v>
      </c>
      <c r="D16" s="18">
        <v>105</v>
      </c>
      <c r="E16" s="17">
        <v>49106392</v>
      </c>
      <c r="F16" s="18">
        <v>13</v>
      </c>
      <c r="G16" s="18">
        <v>13</v>
      </c>
      <c r="H16" s="18" t="s">
        <v>1</v>
      </c>
      <c r="I16" s="18" t="s">
        <v>1</v>
      </c>
      <c r="J16" s="20">
        <v>31</v>
      </c>
      <c r="K16" s="14">
        <v>32488939</v>
      </c>
      <c r="L16" s="14">
        <v>134</v>
      </c>
      <c r="M16" s="30">
        <v>50483207</v>
      </c>
    </row>
    <row r="17" spans="1:13" s="3" customFormat="1" ht="24.75" customHeight="1">
      <c r="A17" s="13" t="s">
        <v>33</v>
      </c>
      <c r="B17" s="18">
        <v>199</v>
      </c>
      <c r="C17" s="16">
        <v>83614103</v>
      </c>
      <c r="D17" s="18">
        <v>32</v>
      </c>
      <c r="E17" s="17">
        <v>2236942</v>
      </c>
      <c r="F17" s="18">
        <v>167</v>
      </c>
      <c r="G17" s="18">
        <v>167</v>
      </c>
      <c r="H17" s="18" t="s">
        <v>1</v>
      </c>
      <c r="I17" s="18" t="s">
        <v>1</v>
      </c>
      <c r="J17" s="20">
        <v>32</v>
      </c>
      <c r="K17" s="14">
        <v>2305887</v>
      </c>
      <c r="L17" s="14">
        <v>32</v>
      </c>
      <c r="M17" s="14">
        <v>2305887</v>
      </c>
    </row>
    <row r="18" spans="1:13" s="3" customFormat="1" ht="24.75" customHeight="1">
      <c r="A18" s="13" t="s">
        <v>6</v>
      </c>
      <c r="B18" s="17">
        <f aca="true" t="shared" si="0" ref="B18:G18">SUM(B2:B17)</f>
        <v>2635</v>
      </c>
      <c r="C18" s="17">
        <f t="shared" si="0"/>
        <v>2214364622</v>
      </c>
      <c r="D18" s="17">
        <f t="shared" si="0"/>
        <v>2350</v>
      </c>
      <c r="E18" s="17">
        <f t="shared" si="0"/>
        <v>899848791</v>
      </c>
      <c r="F18" s="19">
        <f t="shared" si="0"/>
        <v>253</v>
      </c>
      <c r="G18" s="18">
        <f t="shared" si="0"/>
        <v>206</v>
      </c>
      <c r="H18" s="17">
        <f>SUM(H2:H16)</f>
        <v>45</v>
      </c>
      <c r="I18" s="18">
        <f>SUM(I2:I16)</f>
        <v>2</v>
      </c>
      <c r="J18" s="20">
        <f>SUM(J2:J17)</f>
        <v>67</v>
      </c>
      <c r="K18" s="14">
        <f>SUM(K2:K17)</f>
        <v>35710445</v>
      </c>
      <c r="L18" s="20">
        <f>SUM(L2:L17)</f>
        <v>214</v>
      </c>
      <c r="M18" s="17">
        <f>SUM(M12:M17)</f>
        <v>109051821</v>
      </c>
    </row>
    <row r="19" spans="1:14" s="3" customFormat="1" ht="9.75" customHeight="1">
      <c r="A19" s="4"/>
      <c r="B19" s="22"/>
      <c r="C19" s="23"/>
      <c r="D19" s="22"/>
      <c r="E19" s="24"/>
      <c r="F19" s="22"/>
      <c r="G19" s="22"/>
      <c r="H19" s="22"/>
      <c r="I19" s="22"/>
      <c r="J19" s="25"/>
      <c r="K19" s="25"/>
      <c r="L19" s="25"/>
      <c r="M19" s="25"/>
      <c r="N19" s="25"/>
    </row>
    <row r="20" spans="1:13" s="3" customFormat="1" ht="30" customHeight="1">
      <c r="A20" s="33" t="s">
        <v>16</v>
      </c>
      <c r="B20" s="33"/>
      <c r="C20" s="33"/>
      <c r="D20" s="33"/>
      <c r="E20" s="33"/>
      <c r="F20" s="33"/>
      <c r="G20" s="33"/>
      <c r="H20" s="33"/>
      <c r="I20" s="33"/>
      <c r="J20" s="12"/>
      <c r="K20" s="12"/>
      <c r="L20" s="12"/>
      <c r="M20" s="12"/>
    </row>
    <row r="21" spans="1:13" s="7" customFormat="1" ht="30" customHeight="1">
      <c r="A21" s="33" t="s">
        <v>14</v>
      </c>
      <c r="B21" s="33"/>
      <c r="C21" s="33"/>
      <c r="D21" s="33"/>
      <c r="E21" s="33"/>
      <c r="F21" s="33"/>
      <c r="G21" s="33"/>
      <c r="H21" s="33"/>
      <c r="I21" s="33"/>
      <c r="J21" s="33"/>
      <c r="K21" s="33"/>
      <c r="L21" s="33"/>
      <c r="M21" s="33"/>
    </row>
    <row r="22" spans="1:5" s="3" customFormat="1" ht="30" customHeight="1">
      <c r="A22" s="34"/>
      <c r="B22" s="34"/>
      <c r="C22" s="34"/>
      <c r="E22" s="5"/>
    </row>
    <row r="23" spans="1:9" s="3" customFormat="1" ht="30" customHeight="1">
      <c r="A23" s="8"/>
      <c r="C23" s="10"/>
      <c r="E23" s="5"/>
      <c r="I23" s="6"/>
    </row>
    <row r="24" spans="3:9" s="3" customFormat="1" ht="30" customHeight="1">
      <c r="C24" s="10"/>
      <c r="E24" s="5"/>
      <c r="I24" s="9"/>
    </row>
    <row r="25" spans="3:5" s="3" customFormat="1" ht="30" customHeight="1">
      <c r="C25" s="10"/>
      <c r="E25" s="5"/>
    </row>
    <row r="26" spans="1:5" s="3" customFormat="1" ht="30" customHeight="1">
      <c r="A26" s="34"/>
      <c r="B26" s="34"/>
      <c r="C26" s="34"/>
      <c r="D26" s="34"/>
      <c r="E26" s="34"/>
    </row>
    <row r="27" spans="1:5" s="3" customFormat="1" ht="30" customHeight="1">
      <c r="A27" s="34"/>
      <c r="B27" s="34"/>
      <c r="C27" s="34"/>
      <c r="D27" s="34"/>
      <c r="E27" s="34"/>
    </row>
  </sheetData>
  <mergeCells count="4">
    <mergeCell ref="A20:I20"/>
    <mergeCell ref="A21:M21"/>
    <mergeCell ref="A22:C22"/>
    <mergeCell ref="A26:E27"/>
  </mergeCells>
  <printOptions/>
  <pageMargins left="0.42" right="0.5511811023622047" top="0.74" bottom="0.4" header="0.32" footer="0.34"/>
  <pageSetup horizontalDpi="1200" verticalDpi="1200" orientation="landscape" paperSize="9" r:id="rId1"/>
  <headerFooter alignWithMargins="0">
    <oddHeader>&amp;C證基會執行九十一年短線交易歸入權各季執行狀況表</oddHeader>
    <oddFooter>&amp;R&amp;"Times New Roman,標準"&amp;D</oddFooter>
  </headerFooter>
</worksheet>
</file>

<file path=xl/worksheets/sheet2.xml><?xml version="1.0" encoding="utf-8"?>
<worksheet xmlns="http://schemas.openxmlformats.org/spreadsheetml/2006/main" xmlns:r="http://schemas.openxmlformats.org/officeDocument/2006/relationships">
  <dimension ref="A1:N27"/>
  <sheetViews>
    <sheetView workbookViewId="0" topLeftCell="A5">
      <selection activeCell="G15" sqref="G15"/>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1.7539062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34</v>
      </c>
      <c r="B1" s="26" t="s">
        <v>35</v>
      </c>
      <c r="C1" s="26" t="s">
        <v>36</v>
      </c>
      <c r="D1" s="27" t="s">
        <v>37</v>
      </c>
      <c r="E1" s="26" t="s">
        <v>38</v>
      </c>
      <c r="F1" s="27" t="s">
        <v>39</v>
      </c>
      <c r="G1" s="26" t="s">
        <v>40</v>
      </c>
      <c r="H1" s="26" t="s">
        <v>41</v>
      </c>
      <c r="I1" s="26" t="s">
        <v>42</v>
      </c>
      <c r="J1" s="28" t="s">
        <v>64</v>
      </c>
      <c r="K1" s="28" t="s">
        <v>63</v>
      </c>
      <c r="L1" s="21" t="s">
        <v>62</v>
      </c>
      <c r="M1" s="21" t="s">
        <v>61</v>
      </c>
    </row>
    <row r="2" spans="1:13" s="3" customFormat="1" ht="24.75" customHeight="1">
      <c r="A2" s="13" t="s">
        <v>43</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44</v>
      </c>
      <c r="B3" s="18">
        <v>57</v>
      </c>
      <c r="C3" s="15">
        <v>20495283</v>
      </c>
      <c r="D3" s="19">
        <v>56</v>
      </c>
      <c r="E3" s="16">
        <v>18659741</v>
      </c>
      <c r="F3" s="19">
        <v>1</v>
      </c>
      <c r="G3" s="18">
        <v>0</v>
      </c>
      <c r="H3" s="18">
        <v>1</v>
      </c>
      <c r="I3" s="18">
        <v>0</v>
      </c>
      <c r="J3" s="18">
        <v>0</v>
      </c>
      <c r="K3" s="18">
        <v>0</v>
      </c>
      <c r="L3" s="18">
        <v>0</v>
      </c>
      <c r="M3" s="18">
        <v>0</v>
      </c>
    </row>
    <row r="4" spans="1:13" s="3" customFormat="1" ht="24.75" customHeight="1">
      <c r="A4" s="13" t="s">
        <v>45</v>
      </c>
      <c r="B4" s="18">
        <v>129</v>
      </c>
      <c r="C4" s="15">
        <v>63325559</v>
      </c>
      <c r="D4" s="19">
        <v>128</v>
      </c>
      <c r="E4" s="16">
        <v>54518849</v>
      </c>
      <c r="F4" s="19">
        <v>1</v>
      </c>
      <c r="G4" s="18">
        <v>0</v>
      </c>
      <c r="H4" s="18">
        <v>1</v>
      </c>
      <c r="I4" s="18">
        <v>0</v>
      </c>
      <c r="J4" s="18">
        <v>0</v>
      </c>
      <c r="K4" s="18">
        <v>0</v>
      </c>
      <c r="L4" s="18">
        <v>0</v>
      </c>
      <c r="M4" s="18">
        <v>0</v>
      </c>
    </row>
    <row r="5" spans="1:13" s="3" customFormat="1" ht="24.75" customHeight="1">
      <c r="A5" s="13" t="s">
        <v>46</v>
      </c>
      <c r="B5" s="18">
        <v>117</v>
      </c>
      <c r="C5" s="15">
        <v>107710560</v>
      </c>
      <c r="D5" s="19">
        <v>115</v>
      </c>
      <c r="E5" s="16">
        <v>64161343</v>
      </c>
      <c r="F5" s="19">
        <v>2</v>
      </c>
      <c r="G5" s="18">
        <v>1</v>
      </c>
      <c r="H5" s="18">
        <v>1</v>
      </c>
      <c r="I5" s="18">
        <v>0</v>
      </c>
      <c r="J5" s="18">
        <v>0</v>
      </c>
      <c r="K5" s="18">
        <v>0</v>
      </c>
      <c r="L5" s="18">
        <v>0</v>
      </c>
      <c r="M5" s="18">
        <v>0</v>
      </c>
    </row>
    <row r="6" spans="1:13" s="3" customFormat="1" ht="24.75" customHeight="1">
      <c r="A6" s="13" t="s">
        <v>47</v>
      </c>
      <c r="B6" s="18">
        <v>98</v>
      </c>
      <c r="C6" s="15">
        <v>64898557</v>
      </c>
      <c r="D6" s="19">
        <v>95</v>
      </c>
      <c r="E6" s="15">
        <v>32412071</v>
      </c>
      <c r="F6" s="19">
        <v>3</v>
      </c>
      <c r="G6" s="18">
        <v>0</v>
      </c>
      <c r="H6" s="18">
        <v>3</v>
      </c>
      <c r="I6" s="18">
        <v>0</v>
      </c>
      <c r="J6" s="18">
        <v>0</v>
      </c>
      <c r="K6" s="17">
        <v>0</v>
      </c>
      <c r="L6" s="18">
        <v>0</v>
      </c>
      <c r="M6" s="18">
        <v>0</v>
      </c>
    </row>
    <row r="7" spans="1:13" s="3" customFormat="1" ht="24.75" customHeight="1">
      <c r="A7" s="13" t="s">
        <v>48</v>
      </c>
      <c r="B7" s="18">
        <f>82+146</f>
        <v>228</v>
      </c>
      <c r="C7" s="16">
        <v>118576472</v>
      </c>
      <c r="D7" s="19">
        <v>221</v>
      </c>
      <c r="E7" s="16">
        <v>83083143</v>
      </c>
      <c r="F7" s="19">
        <v>7</v>
      </c>
      <c r="G7" s="18">
        <v>3</v>
      </c>
      <c r="H7" s="18">
        <v>4</v>
      </c>
      <c r="I7" s="18">
        <v>0</v>
      </c>
      <c r="J7" s="18">
        <v>0</v>
      </c>
      <c r="K7" s="18">
        <v>0</v>
      </c>
      <c r="L7" s="18">
        <v>0</v>
      </c>
      <c r="M7" s="18">
        <v>0</v>
      </c>
    </row>
    <row r="8" spans="1:13" s="3" customFormat="1" ht="24.75" customHeight="1">
      <c r="A8" s="13" t="s">
        <v>49</v>
      </c>
      <c r="B8" s="18">
        <f>78+114</f>
        <v>192</v>
      </c>
      <c r="C8" s="16">
        <v>147126764</v>
      </c>
      <c r="D8" s="19">
        <v>185</v>
      </c>
      <c r="E8" s="16">
        <v>55506774</v>
      </c>
      <c r="F8" s="19">
        <v>7</v>
      </c>
      <c r="G8" s="18">
        <v>1</v>
      </c>
      <c r="H8" s="18">
        <v>6</v>
      </c>
      <c r="I8" s="18">
        <v>0</v>
      </c>
      <c r="J8" s="18">
        <v>0</v>
      </c>
      <c r="K8" s="18">
        <v>0</v>
      </c>
      <c r="L8" s="18">
        <v>0</v>
      </c>
      <c r="M8" s="18">
        <v>0</v>
      </c>
    </row>
    <row r="9" spans="1:13" s="3" customFormat="1" ht="24.75" customHeight="1">
      <c r="A9" s="13" t="s">
        <v>50</v>
      </c>
      <c r="B9" s="18">
        <f>72+104</f>
        <v>176</v>
      </c>
      <c r="C9" s="16">
        <v>826821959</v>
      </c>
      <c r="D9" s="19">
        <v>168</v>
      </c>
      <c r="E9" s="16">
        <v>72452046</v>
      </c>
      <c r="F9" s="19">
        <v>8</v>
      </c>
      <c r="G9" s="18">
        <v>0</v>
      </c>
      <c r="H9" s="18">
        <v>8</v>
      </c>
      <c r="I9" s="18">
        <v>0</v>
      </c>
      <c r="J9" s="18">
        <v>0</v>
      </c>
      <c r="K9" s="18">
        <v>0</v>
      </c>
      <c r="L9" s="18">
        <v>0</v>
      </c>
      <c r="M9" s="18">
        <v>0</v>
      </c>
    </row>
    <row r="10" spans="1:13" s="3" customFormat="1" ht="24.75" customHeight="1">
      <c r="A10" s="13" t="s">
        <v>51</v>
      </c>
      <c r="B10" s="18">
        <f>84+93</f>
        <v>177</v>
      </c>
      <c r="C10" s="16">
        <v>159294237</v>
      </c>
      <c r="D10" s="19">
        <v>168</v>
      </c>
      <c r="E10" s="16">
        <v>39615130</v>
      </c>
      <c r="F10" s="19">
        <v>9</v>
      </c>
      <c r="G10" s="18">
        <v>1</v>
      </c>
      <c r="H10" s="18">
        <v>8</v>
      </c>
      <c r="I10" s="18">
        <v>0</v>
      </c>
      <c r="J10" s="18">
        <v>0</v>
      </c>
      <c r="K10" s="18">
        <v>0</v>
      </c>
      <c r="L10" s="18">
        <v>0</v>
      </c>
      <c r="M10" s="18">
        <v>0</v>
      </c>
    </row>
    <row r="11" spans="1:13" s="3" customFormat="1" ht="24.75" customHeight="1">
      <c r="A11" s="13" t="s">
        <v>52</v>
      </c>
      <c r="B11" s="18">
        <f>102+103</f>
        <v>205</v>
      </c>
      <c r="C11" s="16">
        <v>117010423</v>
      </c>
      <c r="D11" s="18">
        <v>203</v>
      </c>
      <c r="E11" s="17">
        <v>116991845</v>
      </c>
      <c r="F11" s="18">
        <v>2</v>
      </c>
      <c r="G11" s="18">
        <v>1</v>
      </c>
      <c r="H11" s="18">
        <v>1</v>
      </c>
      <c r="I11" s="18">
        <v>0</v>
      </c>
      <c r="J11" s="18">
        <v>0</v>
      </c>
      <c r="K11" s="18">
        <v>0</v>
      </c>
      <c r="L11" s="18">
        <v>0</v>
      </c>
      <c r="M11" s="18">
        <v>0</v>
      </c>
    </row>
    <row r="12" spans="1:13" s="3" customFormat="1" ht="24.75" customHeight="1">
      <c r="A12" s="13" t="s">
        <v>53</v>
      </c>
      <c r="B12" s="18">
        <v>211</v>
      </c>
      <c r="C12" s="16">
        <v>107650778</v>
      </c>
      <c r="D12" s="18">
        <v>207</v>
      </c>
      <c r="E12" s="17">
        <v>53734671</v>
      </c>
      <c r="F12" s="18">
        <v>4</v>
      </c>
      <c r="G12" s="18">
        <v>1</v>
      </c>
      <c r="H12" s="18">
        <v>3</v>
      </c>
      <c r="I12" s="18">
        <v>0</v>
      </c>
      <c r="J12" s="18">
        <v>0</v>
      </c>
      <c r="K12" s="18">
        <v>0</v>
      </c>
      <c r="L12" s="18">
        <v>0</v>
      </c>
      <c r="M12" s="18">
        <v>0</v>
      </c>
    </row>
    <row r="13" spans="1:13" s="3" customFormat="1" ht="24.75" customHeight="1">
      <c r="A13" s="13" t="s">
        <v>54</v>
      </c>
      <c r="B13" s="18">
        <v>245</v>
      </c>
      <c r="C13" s="16">
        <v>130138611</v>
      </c>
      <c r="D13" s="18">
        <v>240</v>
      </c>
      <c r="E13" s="17">
        <v>86963129</v>
      </c>
      <c r="F13" s="18">
        <v>5</v>
      </c>
      <c r="G13" s="18">
        <v>2</v>
      </c>
      <c r="H13" s="18">
        <v>3</v>
      </c>
      <c r="I13" s="18">
        <v>0</v>
      </c>
      <c r="J13" s="18">
        <v>0</v>
      </c>
      <c r="K13" s="17">
        <v>0</v>
      </c>
      <c r="L13" s="18">
        <v>0</v>
      </c>
      <c r="M13" s="18">
        <v>0</v>
      </c>
    </row>
    <row r="14" spans="1:13" s="3" customFormat="1" ht="24.75" customHeight="1">
      <c r="A14" s="13" t="s">
        <v>55</v>
      </c>
      <c r="B14" s="18">
        <v>196</v>
      </c>
      <c r="C14" s="16">
        <v>103238355</v>
      </c>
      <c r="D14" s="18">
        <v>184</v>
      </c>
      <c r="E14" s="17">
        <v>86983461</v>
      </c>
      <c r="F14" s="18">
        <v>12</v>
      </c>
      <c r="G14" s="18">
        <v>4</v>
      </c>
      <c r="H14" s="18">
        <v>7</v>
      </c>
      <c r="I14" s="18">
        <v>1</v>
      </c>
      <c r="J14" s="18">
        <v>0</v>
      </c>
      <c r="K14" s="14">
        <v>0</v>
      </c>
      <c r="L14" s="18">
        <v>0</v>
      </c>
      <c r="M14" s="18">
        <v>0</v>
      </c>
    </row>
    <row r="15" spans="1:13" s="3" customFormat="1" ht="24.75" customHeight="1">
      <c r="A15" s="13" t="s">
        <v>56</v>
      </c>
      <c r="B15" s="18">
        <v>174</v>
      </c>
      <c r="C15" s="16">
        <v>31406328</v>
      </c>
      <c r="D15" s="18">
        <v>166</v>
      </c>
      <c r="E15" s="17">
        <v>27737275</v>
      </c>
      <c r="F15" s="18">
        <v>8</v>
      </c>
      <c r="G15" s="18">
        <v>5</v>
      </c>
      <c r="H15" s="18">
        <v>2</v>
      </c>
      <c r="I15" s="18">
        <v>1</v>
      </c>
      <c r="J15" s="20">
        <v>4</v>
      </c>
      <c r="K15" s="14">
        <v>125801</v>
      </c>
      <c r="L15" s="14">
        <v>4</v>
      </c>
      <c r="M15" s="17">
        <v>125801</v>
      </c>
    </row>
    <row r="16" spans="1:13" s="3" customFormat="1" ht="24.75" customHeight="1">
      <c r="A16" s="13" t="s">
        <v>57</v>
      </c>
      <c r="B16" s="18">
        <v>147</v>
      </c>
      <c r="C16" s="16">
        <v>52568653</v>
      </c>
      <c r="D16" s="18">
        <v>138</v>
      </c>
      <c r="E16" s="17">
        <v>50585622</v>
      </c>
      <c r="F16" s="18">
        <v>9</v>
      </c>
      <c r="G16" s="18">
        <v>8</v>
      </c>
      <c r="H16" s="18">
        <v>1</v>
      </c>
      <c r="I16" s="18">
        <v>0</v>
      </c>
      <c r="J16" s="20">
        <v>33</v>
      </c>
      <c r="K16" s="14">
        <v>90613</v>
      </c>
      <c r="L16" s="14">
        <v>33</v>
      </c>
      <c r="M16" s="30">
        <v>90613</v>
      </c>
    </row>
    <row r="17" spans="1:13" s="3" customFormat="1" ht="24.75" customHeight="1">
      <c r="A17" s="13" t="s">
        <v>58</v>
      </c>
      <c r="B17" s="18">
        <v>199</v>
      </c>
      <c r="C17" s="16">
        <v>83614103</v>
      </c>
      <c r="D17" s="18">
        <v>174</v>
      </c>
      <c r="E17" s="17">
        <v>67076303</v>
      </c>
      <c r="F17" s="18">
        <v>25</v>
      </c>
      <c r="G17" s="18">
        <v>21</v>
      </c>
      <c r="H17" s="18">
        <v>0</v>
      </c>
      <c r="I17" s="18">
        <v>4</v>
      </c>
      <c r="J17" s="20">
        <v>142</v>
      </c>
      <c r="K17" s="14">
        <v>65141959</v>
      </c>
      <c r="L17" s="14">
        <v>142</v>
      </c>
      <c r="M17" s="14">
        <v>65141959</v>
      </c>
    </row>
    <row r="18" spans="1:13" s="3" customFormat="1" ht="24.75" customHeight="1">
      <c r="A18" s="13" t="s">
        <v>59</v>
      </c>
      <c r="B18" s="17">
        <f aca="true" t="shared" si="0" ref="B18:G18">SUM(B2:B17)</f>
        <v>2635</v>
      </c>
      <c r="C18" s="17">
        <f t="shared" si="0"/>
        <v>2214146666</v>
      </c>
      <c r="D18" s="17">
        <f t="shared" si="0"/>
        <v>2532</v>
      </c>
      <c r="E18" s="17">
        <f t="shared" si="0"/>
        <v>988198940</v>
      </c>
      <c r="F18" s="19">
        <f t="shared" si="0"/>
        <v>103</v>
      </c>
      <c r="G18" s="18">
        <f t="shared" si="0"/>
        <v>48</v>
      </c>
      <c r="H18" s="17">
        <f>SUM(H2:H17)</f>
        <v>49</v>
      </c>
      <c r="I18" s="18">
        <f>SUM(I2:I17)</f>
        <v>6</v>
      </c>
      <c r="J18" s="20">
        <f>SUM(J2:J17)</f>
        <v>179</v>
      </c>
      <c r="K18" s="14">
        <f>SUM(K2:K17)</f>
        <v>65358373</v>
      </c>
      <c r="L18" s="20">
        <f>SUM(L2:L17)</f>
        <v>179</v>
      </c>
      <c r="M18" s="17">
        <f>SUM(M12:M17)</f>
        <v>65358373</v>
      </c>
    </row>
    <row r="19" spans="1:14" s="3" customFormat="1" ht="9.75" customHeight="1">
      <c r="A19" s="4"/>
      <c r="B19" s="22"/>
      <c r="C19" s="23"/>
      <c r="D19" s="22"/>
      <c r="E19" s="24"/>
      <c r="F19" s="22"/>
      <c r="G19" s="22"/>
      <c r="H19" s="22"/>
      <c r="I19" s="22"/>
      <c r="J19" s="25"/>
      <c r="K19" s="25"/>
      <c r="L19" s="25"/>
      <c r="M19" s="25"/>
      <c r="N19" s="25"/>
    </row>
    <row r="20" spans="1:13" s="3" customFormat="1" ht="30" customHeight="1">
      <c r="A20" s="33" t="s">
        <v>60</v>
      </c>
      <c r="B20" s="33"/>
      <c r="C20" s="33"/>
      <c r="D20" s="33"/>
      <c r="E20" s="33"/>
      <c r="F20" s="33"/>
      <c r="G20" s="33"/>
      <c r="H20" s="33"/>
      <c r="I20" s="33"/>
      <c r="J20" s="12"/>
      <c r="K20" s="12"/>
      <c r="L20" s="12"/>
      <c r="M20" s="12"/>
    </row>
    <row r="21" spans="1:13" s="7" customFormat="1" ht="30" customHeight="1">
      <c r="A21" s="33" t="s">
        <v>65</v>
      </c>
      <c r="B21" s="33"/>
      <c r="C21" s="33"/>
      <c r="D21" s="33"/>
      <c r="E21" s="33"/>
      <c r="F21" s="33"/>
      <c r="G21" s="33"/>
      <c r="H21" s="33"/>
      <c r="I21" s="33"/>
      <c r="J21" s="33"/>
      <c r="K21" s="33"/>
      <c r="L21" s="33"/>
      <c r="M21" s="33"/>
    </row>
    <row r="22" spans="1:5" s="3" customFormat="1" ht="30" customHeight="1">
      <c r="A22" s="34"/>
      <c r="B22" s="34"/>
      <c r="C22" s="34"/>
      <c r="E22" s="5"/>
    </row>
    <row r="23" spans="1:9" s="3" customFormat="1" ht="30" customHeight="1">
      <c r="A23" s="8"/>
      <c r="C23" s="10"/>
      <c r="E23" s="5"/>
      <c r="I23" s="6"/>
    </row>
    <row r="24" spans="3:9" s="3" customFormat="1" ht="30" customHeight="1">
      <c r="C24" s="10"/>
      <c r="E24" s="5"/>
      <c r="I24" s="9"/>
    </row>
    <row r="25" spans="3:5" s="3" customFormat="1" ht="30" customHeight="1">
      <c r="C25" s="10"/>
      <c r="E25" s="5"/>
    </row>
    <row r="26" spans="1:5" s="3" customFormat="1" ht="30" customHeight="1">
      <c r="A26" s="34"/>
      <c r="B26" s="34"/>
      <c r="C26" s="34"/>
      <c r="D26" s="34"/>
      <c r="E26" s="34"/>
    </row>
    <row r="27" spans="1:5" s="3" customFormat="1" ht="30" customHeight="1">
      <c r="A27" s="34"/>
      <c r="B27" s="34"/>
      <c r="C27" s="34"/>
      <c r="D27" s="34"/>
      <c r="E27" s="34"/>
    </row>
  </sheetData>
  <mergeCells count="4">
    <mergeCell ref="A20:I20"/>
    <mergeCell ref="A21:M21"/>
    <mergeCell ref="A22:C22"/>
    <mergeCell ref="A26:E27"/>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Roman,粗體"92.3.31&amp;"Times New Roman,標準"
</oddFooter>
  </headerFooter>
</worksheet>
</file>

<file path=xl/worksheets/sheet3.xml><?xml version="1.0" encoding="utf-8"?>
<worksheet xmlns="http://schemas.openxmlformats.org/spreadsheetml/2006/main" xmlns:r="http://schemas.openxmlformats.org/officeDocument/2006/relationships">
  <dimension ref="A1:N28"/>
  <sheetViews>
    <sheetView workbookViewId="0" topLeftCell="C6">
      <selection activeCell="M18" sqref="M18"/>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66</v>
      </c>
      <c r="B1" s="26" t="s">
        <v>67</v>
      </c>
      <c r="C1" s="26" t="s">
        <v>68</v>
      </c>
      <c r="D1" s="27" t="s">
        <v>69</v>
      </c>
      <c r="E1" s="26" t="s">
        <v>70</v>
      </c>
      <c r="F1" s="27" t="s">
        <v>71</v>
      </c>
      <c r="G1" s="26" t="s">
        <v>72</v>
      </c>
      <c r="H1" s="26" t="s">
        <v>73</v>
      </c>
      <c r="I1" s="26" t="s">
        <v>74</v>
      </c>
      <c r="J1" s="28" t="s">
        <v>95</v>
      </c>
      <c r="K1" s="28" t="s">
        <v>94</v>
      </c>
      <c r="L1" s="21" t="s">
        <v>96</v>
      </c>
      <c r="M1" s="21" t="s">
        <v>97</v>
      </c>
    </row>
    <row r="2" spans="1:13" s="3" customFormat="1" ht="24.75" customHeight="1">
      <c r="A2" s="13" t="s">
        <v>75</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76</v>
      </c>
      <c r="B3" s="18">
        <v>57</v>
      </c>
      <c r="C3" s="15">
        <v>20495283</v>
      </c>
      <c r="D3" s="19">
        <v>57</v>
      </c>
      <c r="E3" s="16">
        <v>18659741</v>
      </c>
      <c r="F3" s="19">
        <v>0</v>
      </c>
      <c r="G3" s="18">
        <v>0</v>
      </c>
      <c r="H3" s="18">
        <v>0</v>
      </c>
      <c r="I3" s="18">
        <v>0</v>
      </c>
      <c r="J3" s="18">
        <v>1</v>
      </c>
      <c r="K3" s="18">
        <v>0</v>
      </c>
      <c r="L3" s="18">
        <v>1</v>
      </c>
      <c r="M3" s="18">
        <v>0</v>
      </c>
    </row>
    <row r="4" spans="1:13" s="3" customFormat="1" ht="24.75" customHeight="1">
      <c r="A4" s="13" t="s">
        <v>77</v>
      </c>
      <c r="B4" s="18">
        <v>129</v>
      </c>
      <c r="C4" s="15">
        <v>63325559</v>
      </c>
      <c r="D4" s="19">
        <v>129</v>
      </c>
      <c r="E4" s="16">
        <v>54518849</v>
      </c>
      <c r="F4" s="19">
        <v>0</v>
      </c>
      <c r="G4" s="18">
        <v>0</v>
      </c>
      <c r="H4" s="18">
        <v>0</v>
      </c>
      <c r="I4" s="18">
        <v>0</v>
      </c>
      <c r="J4" s="18">
        <v>1</v>
      </c>
      <c r="K4" s="18">
        <v>0</v>
      </c>
      <c r="L4" s="18">
        <v>1</v>
      </c>
      <c r="M4" s="18">
        <v>0</v>
      </c>
    </row>
    <row r="5" spans="1:13" s="3" customFormat="1" ht="24.75" customHeight="1">
      <c r="A5" s="13" t="s">
        <v>78</v>
      </c>
      <c r="B5" s="18">
        <v>117</v>
      </c>
      <c r="C5" s="15">
        <v>107710560</v>
      </c>
      <c r="D5" s="19">
        <v>117</v>
      </c>
      <c r="E5" s="16">
        <f>64161343+44111999</f>
        <v>108273342</v>
      </c>
      <c r="F5" s="19">
        <v>0</v>
      </c>
      <c r="G5" s="18">
        <v>0</v>
      </c>
      <c r="H5" s="18">
        <v>0</v>
      </c>
      <c r="I5" s="18">
        <v>0</v>
      </c>
      <c r="J5" s="18">
        <v>2</v>
      </c>
      <c r="K5" s="18">
        <v>0</v>
      </c>
      <c r="L5" s="18">
        <v>2</v>
      </c>
      <c r="M5" s="18">
        <v>0</v>
      </c>
    </row>
    <row r="6" spans="1:13" s="3" customFormat="1" ht="24.75" customHeight="1">
      <c r="A6" s="13" t="s">
        <v>79</v>
      </c>
      <c r="B6" s="18">
        <v>98</v>
      </c>
      <c r="C6" s="15">
        <v>64898557</v>
      </c>
      <c r="D6" s="19">
        <v>98</v>
      </c>
      <c r="E6" s="15">
        <f>32412071+12619030</f>
        <v>45031101</v>
      </c>
      <c r="F6" s="19">
        <v>0</v>
      </c>
      <c r="G6" s="18">
        <v>0</v>
      </c>
      <c r="H6" s="18">
        <v>0</v>
      </c>
      <c r="I6" s="18">
        <v>0</v>
      </c>
      <c r="J6" s="18">
        <v>3</v>
      </c>
      <c r="K6" s="17">
        <v>7156</v>
      </c>
      <c r="L6" s="18">
        <v>3</v>
      </c>
      <c r="M6" s="17">
        <v>7156</v>
      </c>
    </row>
    <row r="7" spans="1:13" s="3" customFormat="1" ht="24.75" customHeight="1">
      <c r="A7" s="13" t="s">
        <v>80</v>
      </c>
      <c r="B7" s="18">
        <f>82+146</f>
        <v>228</v>
      </c>
      <c r="C7" s="16">
        <f>15015016+103561456</f>
        <v>118576472</v>
      </c>
      <c r="D7" s="19">
        <f>82+146</f>
        <v>228</v>
      </c>
      <c r="E7" s="16">
        <f>15247523+67831420+138551+12467556</f>
        <v>95685050</v>
      </c>
      <c r="F7" s="19">
        <v>0</v>
      </c>
      <c r="G7" s="18">
        <v>0</v>
      </c>
      <c r="H7" s="18">
        <v>0</v>
      </c>
      <c r="I7" s="18">
        <v>0</v>
      </c>
      <c r="J7" s="18">
        <v>7</v>
      </c>
      <c r="K7" s="17">
        <v>31531</v>
      </c>
      <c r="L7" s="18">
        <v>7</v>
      </c>
      <c r="M7" s="17">
        <v>31531</v>
      </c>
    </row>
    <row r="8" spans="1:13" s="3" customFormat="1" ht="24.75" customHeight="1">
      <c r="A8" s="13" t="s">
        <v>81</v>
      </c>
      <c r="B8" s="18">
        <f>78+114</f>
        <v>192</v>
      </c>
      <c r="C8" s="16">
        <f>14633964+132492800</f>
        <v>147126764</v>
      </c>
      <c r="D8" s="19">
        <f>78+112</f>
        <v>190</v>
      </c>
      <c r="E8" s="16">
        <f>15447671+40035876+73117+17840142</f>
        <v>73396806</v>
      </c>
      <c r="F8" s="19">
        <v>2</v>
      </c>
      <c r="G8" s="18">
        <v>0</v>
      </c>
      <c r="H8" s="18">
        <v>2</v>
      </c>
      <c r="I8" s="18">
        <v>0</v>
      </c>
      <c r="J8" s="18">
        <v>5</v>
      </c>
      <c r="K8" s="18">
        <v>0</v>
      </c>
      <c r="L8" s="18">
        <v>5</v>
      </c>
      <c r="M8" s="18">
        <v>0</v>
      </c>
    </row>
    <row r="9" spans="1:13" s="3" customFormat="1" ht="24.75" customHeight="1">
      <c r="A9" s="13" t="s">
        <v>82</v>
      </c>
      <c r="B9" s="18">
        <f>72+104</f>
        <v>176</v>
      </c>
      <c r="C9" s="16">
        <f>57658098+769163861</f>
        <v>826821959</v>
      </c>
      <c r="D9" s="19">
        <f>71+100</f>
        <v>171</v>
      </c>
      <c r="E9" s="16">
        <f>30220073+38490724+3248960</f>
        <v>71959757</v>
      </c>
      <c r="F9" s="19">
        <v>5</v>
      </c>
      <c r="G9" s="18">
        <v>0</v>
      </c>
      <c r="H9" s="18">
        <v>5</v>
      </c>
      <c r="I9" s="18">
        <v>0</v>
      </c>
      <c r="J9" s="18">
        <v>3</v>
      </c>
      <c r="K9" s="18">
        <v>0</v>
      </c>
      <c r="L9" s="18">
        <v>3</v>
      </c>
      <c r="M9" s="18">
        <v>0</v>
      </c>
    </row>
    <row r="10" spans="1:13" s="3" customFormat="1" ht="24.75" customHeight="1">
      <c r="A10" s="13" t="s">
        <v>83</v>
      </c>
      <c r="B10" s="18">
        <f>84+93</f>
        <v>177</v>
      </c>
      <c r="C10" s="16">
        <f>13142131+146152106</f>
        <v>159294237</v>
      </c>
      <c r="D10" s="19">
        <f>84+87</f>
        <v>171</v>
      </c>
      <c r="E10" s="16">
        <f>13138335+26186486+12039</f>
        <v>39336860</v>
      </c>
      <c r="F10" s="19">
        <v>6</v>
      </c>
      <c r="G10" s="18">
        <v>0</v>
      </c>
      <c r="H10" s="18">
        <v>6</v>
      </c>
      <c r="I10" s="18">
        <v>0</v>
      </c>
      <c r="J10" s="18">
        <v>3</v>
      </c>
      <c r="K10" s="18">
        <v>0</v>
      </c>
      <c r="L10" s="18">
        <v>3</v>
      </c>
      <c r="M10" s="18">
        <v>0</v>
      </c>
    </row>
    <row r="11" spans="1:13" s="3" customFormat="1" ht="24.75" customHeight="1">
      <c r="A11" s="13" t="s">
        <v>84</v>
      </c>
      <c r="B11" s="18">
        <f>102+103</f>
        <v>205</v>
      </c>
      <c r="C11" s="16">
        <f>26329161+90681262</f>
        <v>117010423</v>
      </c>
      <c r="D11" s="18">
        <f>102+103</f>
        <v>205</v>
      </c>
      <c r="E11" s="17">
        <f>14523476+86948821+11804153+3715161</f>
        <v>116991611</v>
      </c>
      <c r="F11" s="18">
        <v>0</v>
      </c>
      <c r="G11" s="18">
        <v>0</v>
      </c>
      <c r="H11" s="18">
        <v>0</v>
      </c>
      <c r="I11" s="18">
        <v>0</v>
      </c>
      <c r="J11" s="18">
        <v>2</v>
      </c>
      <c r="K11" s="18">
        <v>0</v>
      </c>
      <c r="L11" s="18">
        <v>2</v>
      </c>
      <c r="M11" s="18">
        <v>0</v>
      </c>
    </row>
    <row r="12" spans="1:13" s="3" customFormat="1" ht="24.75" customHeight="1">
      <c r="A12" s="13" t="s">
        <v>85</v>
      </c>
      <c r="B12" s="18">
        <f>102+109</f>
        <v>211</v>
      </c>
      <c r="C12" s="16">
        <f>25992585+81658193</f>
        <v>107650778</v>
      </c>
      <c r="D12" s="18">
        <f>102+108</f>
        <v>210</v>
      </c>
      <c r="E12" s="17">
        <f>25969480+32797157+23105+397521</f>
        <v>59187263</v>
      </c>
      <c r="F12" s="18">
        <v>1</v>
      </c>
      <c r="G12" s="18">
        <v>0</v>
      </c>
      <c r="H12" s="18">
        <v>1</v>
      </c>
      <c r="I12" s="18">
        <v>0</v>
      </c>
      <c r="J12" s="18">
        <v>3</v>
      </c>
      <c r="K12" s="17">
        <v>5452592</v>
      </c>
      <c r="L12" s="18">
        <v>3</v>
      </c>
      <c r="M12" s="17">
        <v>5452592</v>
      </c>
    </row>
    <row r="13" spans="1:13" s="3" customFormat="1" ht="24.75" customHeight="1">
      <c r="A13" s="13" t="s">
        <v>86</v>
      </c>
      <c r="B13" s="18">
        <f>127+118</f>
        <v>245</v>
      </c>
      <c r="C13" s="16">
        <f>73315155+56823456</f>
        <v>130138611</v>
      </c>
      <c r="D13" s="18">
        <f>127+115</f>
        <v>242</v>
      </c>
      <c r="E13" s="17">
        <f>73085130+13328819+230025+319155</f>
        <v>86963129</v>
      </c>
      <c r="F13" s="18">
        <v>3</v>
      </c>
      <c r="G13" s="18">
        <v>0</v>
      </c>
      <c r="H13" s="18">
        <v>3</v>
      </c>
      <c r="I13" s="18">
        <v>0</v>
      </c>
      <c r="J13" s="18">
        <v>2</v>
      </c>
      <c r="K13" s="17">
        <v>0</v>
      </c>
      <c r="L13" s="18">
        <v>2</v>
      </c>
      <c r="M13" s="18">
        <v>0</v>
      </c>
    </row>
    <row r="14" spans="1:13" s="3" customFormat="1" ht="24.75" customHeight="1">
      <c r="A14" s="13" t="s">
        <v>87</v>
      </c>
      <c r="B14" s="18">
        <f>108+88</f>
        <v>196</v>
      </c>
      <c r="C14" s="16">
        <f>75738345+27500010</f>
        <v>103238355</v>
      </c>
      <c r="D14" s="18">
        <f>107+84</f>
        <v>191</v>
      </c>
      <c r="E14" s="17">
        <f>70691250+15940775+6941+344495</f>
        <v>86983461</v>
      </c>
      <c r="F14" s="18">
        <v>5</v>
      </c>
      <c r="G14" s="18">
        <v>2</v>
      </c>
      <c r="H14" s="18">
        <v>3</v>
      </c>
      <c r="I14" s="18">
        <v>0</v>
      </c>
      <c r="J14" s="18">
        <v>7</v>
      </c>
      <c r="K14" s="14">
        <v>0</v>
      </c>
      <c r="L14" s="18">
        <v>7</v>
      </c>
      <c r="M14" s="18">
        <v>0</v>
      </c>
    </row>
    <row r="15" spans="1:13" s="3" customFormat="1" ht="24.75" customHeight="1">
      <c r="A15" s="13" t="s">
        <v>88</v>
      </c>
      <c r="B15" s="18">
        <f>90+84</f>
        <v>174</v>
      </c>
      <c r="C15" s="16">
        <f>19925901+11480427</f>
        <v>31406328</v>
      </c>
      <c r="D15" s="18">
        <f>90+82</f>
        <v>172</v>
      </c>
      <c r="E15" s="17">
        <f>19916246+8726032+1033760</f>
        <v>29676038</v>
      </c>
      <c r="F15" s="18">
        <v>2</v>
      </c>
      <c r="G15" s="18">
        <v>0</v>
      </c>
      <c r="H15" s="18">
        <v>2</v>
      </c>
      <c r="I15" s="18">
        <v>0</v>
      </c>
      <c r="J15" s="20">
        <v>6</v>
      </c>
      <c r="K15" s="14">
        <v>1938763</v>
      </c>
      <c r="L15" s="14">
        <v>10</v>
      </c>
      <c r="M15" s="17">
        <v>2064564</v>
      </c>
    </row>
    <row r="16" spans="1:13" s="3" customFormat="1" ht="24.75" customHeight="1">
      <c r="A16" s="13" t="s">
        <v>89</v>
      </c>
      <c r="B16" s="18">
        <f>75+72</f>
        <v>147</v>
      </c>
      <c r="C16" s="16">
        <f>16590630+35978023</f>
        <v>52568653</v>
      </c>
      <c r="D16" s="18">
        <f>74+68</f>
        <v>142</v>
      </c>
      <c r="E16" s="17">
        <f>16590630+33084155+1388617</f>
        <v>51063402</v>
      </c>
      <c r="F16" s="18">
        <v>5</v>
      </c>
      <c r="G16" s="18">
        <v>4</v>
      </c>
      <c r="H16" s="18">
        <v>1</v>
      </c>
      <c r="I16" s="18">
        <v>0</v>
      </c>
      <c r="J16" s="20">
        <v>4</v>
      </c>
      <c r="K16" s="14">
        <v>477780</v>
      </c>
      <c r="L16" s="14">
        <v>37</v>
      </c>
      <c r="M16" s="30">
        <v>568393</v>
      </c>
    </row>
    <row r="17" spans="1:13" s="3" customFormat="1" ht="24.75" customHeight="1">
      <c r="A17" s="13" t="s">
        <v>90</v>
      </c>
      <c r="B17" s="18">
        <v>199</v>
      </c>
      <c r="C17" s="16">
        <v>83614103</v>
      </c>
      <c r="D17" s="18">
        <v>192</v>
      </c>
      <c r="E17" s="17">
        <v>69889934</v>
      </c>
      <c r="F17" s="18">
        <v>7</v>
      </c>
      <c r="G17" s="18">
        <v>6</v>
      </c>
      <c r="H17" s="18">
        <v>0</v>
      </c>
      <c r="I17" s="18">
        <v>1</v>
      </c>
      <c r="J17" s="20">
        <v>18</v>
      </c>
      <c r="K17" s="14">
        <v>2813631</v>
      </c>
      <c r="L17" s="14">
        <v>160</v>
      </c>
      <c r="M17" s="14">
        <v>67955590</v>
      </c>
    </row>
    <row r="18" spans="1:13" s="3" customFormat="1" ht="24.75" customHeight="1">
      <c r="A18" s="13" t="s">
        <v>98</v>
      </c>
      <c r="B18" s="18">
        <v>152</v>
      </c>
      <c r="C18" s="16">
        <v>22839643</v>
      </c>
      <c r="D18" s="18">
        <v>66</v>
      </c>
      <c r="E18" s="17">
        <v>6609614</v>
      </c>
      <c r="F18" s="18">
        <v>86</v>
      </c>
      <c r="G18" s="18">
        <v>85</v>
      </c>
      <c r="H18" s="18">
        <v>0</v>
      </c>
      <c r="I18" s="18">
        <v>1</v>
      </c>
      <c r="J18" s="20">
        <v>66</v>
      </c>
      <c r="K18" s="14">
        <v>6609614</v>
      </c>
      <c r="L18" s="14">
        <v>66</v>
      </c>
      <c r="M18" s="14">
        <v>6609614</v>
      </c>
    </row>
    <row r="19" spans="1:13" s="3" customFormat="1" ht="24.75" customHeight="1">
      <c r="A19" s="13" t="s">
        <v>91</v>
      </c>
      <c r="B19" s="17">
        <f aca="true" t="shared" si="0" ref="B19:M19">SUM(B2:B18)</f>
        <v>2787</v>
      </c>
      <c r="C19" s="17">
        <f t="shared" si="0"/>
        <v>2236986309</v>
      </c>
      <c r="D19" s="17">
        <f t="shared" si="0"/>
        <v>2665</v>
      </c>
      <c r="E19" s="17">
        <f t="shared" si="0"/>
        <v>1091943495</v>
      </c>
      <c r="F19" s="19">
        <f t="shared" si="0"/>
        <v>122</v>
      </c>
      <c r="G19" s="18">
        <f t="shared" si="0"/>
        <v>97</v>
      </c>
      <c r="H19" s="17">
        <f t="shared" si="0"/>
        <v>23</v>
      </c>
      <c r="I19" s="18">
        <f t="shared" si="0"/>
        <v>2</v>
      </c>
      <c r="J19" s="20">
        <f t="shared" si="0"/>
        <v>133</v>
      </c>
      <c r="K19" s="14">
        <f t="shared" si="0"/>
        <v>17331067</v>
      </c>
      <c r="L19" s="20">
        <f t="shared" si="0"/>
        <v>312</v>
      </c>
      <c r="M19" s="17">
        <f t="shared" si="0"/>
        <v>82689440</v>
      </c>
    </row>
    <row r="20" spans="1:14" s="3" customFormat="1" ht="9.75" customHeight="1">
      <c r="A20" s="4"/>
      <c r="B20" s="22"/>
      <c r="C20" s="23"/>
      <c r="D20" s="22"/>
      <c r="E20" s="24"/>
      <c r="F20" s="22"/>
      <c r="G20" s="22"/>
      <c r="H20" s="22"/>
      <c r="I20" s="22"/>
      <c r="J20" s="25"/>
      <c r="K20" s="25"/>
      <c r="L20" s="25"/>
      <c r="M20" s="25"/>
      <c r="N20" s="25"/>
    </row>
    <row r="21" spans="1:13" s="3" customFormat="1" ht="30" customHeight="1">
      <c r="A21" s="33" t="s">
        <v>92</v>
      </c>
      <c r="B21" s="33"/>
      <c r="C21" s="33"/>
      <c r="D21" s="33"/>
      <c r="E21" s="33"/>
      <c r="F21" s="33"/>
      <c r="G21" s="33"/>
      <c r="H21" s="33"/>
      <c r="I21" s="33"/>
      <c r="J21" s="12"/>
      <c r="K21" s="12"/>
      <c r="L21" s="12"/>
      <c r="M21" s="12"/>
    </row>
    <row r="22" spans="1:13" s="7" customFormat="1" ht="30" customHeight="1">
      <c r="A22" s="33" t="s">
        <v>93</v>
      </c>
      <c r="B22" s="33"/>
      <c r="C22" s="33"/>
      <c r="D22" s="33"/>
      <c r="E22" s="33"/>
      <c r="F22" s="33"/>
      <c r="G22" s="33"/>
      <c r="H22" s="33"/>
      <c r="I22" s="33"/>
      <c r="J22" s="33"/>
      <c r="K22" s="33"/>
      <c r="L22" s="33"/>
      <c r="M22" s="33"/>
    </row>
    <row r="23" spans="1:5" s="3" customFormat="1" ht="30" customHeight="1">
      <c r="A23" s="34"/>
      <c r="B23" s="34"/>
      <c r="C23" s="34"/>
      <c r="E23" s="5"/>
    </row>
    <row r="24" spans="1:9" s="3" customFormat="1" ht="30" customHeight="1">
      <c r="A24" s="8"/>
      <c r="C24" s="10"/>
      <c r="E24" s="5"/>
      <c r="I24" s="6"/>
    </row>
    <row r="25" spans="3:9" s="3" customFormat="1" ht="30" customHeight="1">
      <c r="C25" s="10"/>
      <c r="E25" s="5"/>
      <c r="I25" s="9"/>
    </row>
    <row r="26" spans="3:5" s="3" customFormat="1" ht="30" customHeight="1">
      <c r="C26" s="10"/>
      <c r="E26" s="5"/>
    </row>
    <row r="27" spans="1:5" s="3" customFormat="1" ht="30" customHeight="1">
      <c r="A27" s="34"/>
      <c r="B27" s="34"/>
      <c r="C27" s="34"/>
      <c r="D27" s="34"/>
      <c r="E27" s="34"/>
    </row>
    <row r="28" spans="1:5" s="3" customFormat="1" ht="30" customHeight="1">
      <c r="A28" s="34"/>
      <c r="B28" s="34"/>
      <c r="C28" s="34"/>
      <c r="D28" s="34"/>
      <c r="E28" s="34"/>
    </row>
  </sheetData>
  <mergeCells count="4">
    <mergeCell ref="A21:I21"/>
    <mergeCell ref="A22:M22"/>
    <mergeCell ref="A23:C23"/>
    <mergeCell ref="A27:E28"/>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Roman,粗體"92.6.30&amp;"Times New Roman,標準"
</oddFooter>
  </headerFooter>
</worksheet>
</file>

<file path=xl/worksheets/sheet4.xml><?xml version="1.0" encoding="utf-8"?>
<worksheet xmlns="http://schemas.openxmlformats.org/spreadsheetml/2006/main" xmlns:r="http://schemas.openxmlformats.org/officeDocument/2006/relationships">
  <dimension ref="A1:N28"/>
  <sheetViews>
    <sheetView workbookViewId="0" topLeftCell="B6">
      <selection activeCell="L19" sqref="L19"/>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12</v>
      </c>
      <c r="B1" s="26" t="s">
        <v>18</v>
      </c>
      <c r="C1" s="26" t="s">
        <v>19</v>
      </c>
      <c r="D1" s="27" t="s">
        <v>20</v>
      </c>
      <c r="E1" s="26" t="s">
        <v>21</v>
      </c>
      <c r="F1" s="27" t="s">
        <v>22</v>
      </c>
      <c r="G1" s="26" t="s">
        <v>23</v>
      </c>
      <c r="H1" s="26" t="s">
        <v>24</v>
      </c>
      <c r="I1" s="26" t="s">
        <v>25</v>
      </c>
      <c r="J1" s="28" t="s">
        <v>102</v>
      </c>
      <c r="K1" s="28" t="s">
        <v>101</v>
      </c>
      <c r="L1" s="21" t="s">
        <v>103</v>
      </c>
      <c r="M1" s="21" t="s">
        <v>104</v>
      </c>
    </row>
    <row r="2" spans="1:13" s="3" customFormat="1" ht="24.75" customHeight="1">
      <c r="A2" s="13" t="s">
        <v>0</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2</v>
      </c>
      <c r="B3" s="18">
        <v>57</v>
      </c>
      <c r="C3" s="15">
        <v>20495283</v>
      </c>
      <c r="D3" s="19">
        <v>57</v>
      </c>
      <c r="E3" s="16">
        <v>18659741</v>
      </c>
      <c r="F3" s="19">
        <v>0</v>
      </c>
      <c r="G3" s="18">
        <v>0</v>
      </c>
      <c r="H3" s="18">
        <v>0</v>
      </c>
      <c r="I3" s="18">
        <v>0</v>
      </c>
      <c r="J3" s="18">
        <v>0</v>
      </c>
      <c r="K3" s="18">
        <v>0</v>
      </c>
      <c r="L3" s="18">
        <v>1</v>
      </c>
      <c r="M3" s="18">
        <v>0</v>
      </c>
    </row>
    <row r="4" spans="1:13" s="3" customFormat="1" ht="24.75" customHeight="1">
      <c r="A4" s="13" t="s">
        <v>3</v>
      </c>
      <c r="B4" s="18">
        <v>129</v>
      </c>
      <c r="C4" s="15">
        <v>63325559</v>
      </c>
      <c r="D4" s="19">
        <v>129</v>
      </c>
      <c r="E4" s="16">
        <v>54518849</v>
      </c>
      <c r="F4" s="19">
        <v>0</v>
      </c>
      <c r="G4" s="18">
        <v>0</v>
      </c>
      <c r="H4" s="18">
        <v>0</v>
      </c>
      <c r="I4" s="18">
        <v>0</v>
      </c>
      <c r="J4" s="18">
        <v>0</v>
      </c>
      <c r="K4" s="18">
        <v>0</v>
      </c>
      <c r="L4" s="18">
        <v>1</v>
      </c>
      <c r="M4" s="18">
        <v>0</v>
      </c>
    </row>
    <row r="5" spans="1:13" s="3" customFormat="1" ht="24.75" customHeight="1">
      <c r="A5" s="13" t="s">
        <v>4</v>
      </c>
      <c r="B5" s="18">
        <v>117</v>
      </c>
      <c r="C5" s="15">
        <v>107710560</v>
      </c>
      <c r="D5" s="19">
        <v>117</v>
      </c>
      <c r="E5" s="16">
        <f>64161343+44111999</f>
        <v>108273342</v>
      </c>
      <c r="F5" s="19">
        <v>0</v>
      </c>
      <c r="G5" s="18">
        <v>0</v>
      </c>
      <c r="H5" s="18">
        <v>0</v>
      </c>
      <c r="I5" s="18">
        <v>0</v>
      </c>
      <c r="J5" s="18">
        <v>0</v>
      </c>
      <c r="K5" s="18">
        <v>0</v>
      </c>
      <c r="L5" s="18">
        <v>2</v>
      </c>
      <c r="M5" s="18">
        <v>0</v>
      </c>
    </row>
    <row r="6" spans="1:13" s="3" customFormat="1" ht="24.75" customHeight="1">
      <c r="A6" s="13" t="s">
        <v>5</v>
      </c>
      <c r="B6" s="18">
        <v>98</v>
      </c>
      <c r="C6" s="15">
        <v>64898557</v>
      </c>
      <c r="D6" s="19">
        <v>98</v>
      </c>
      <c r="E6" s="15">
        <f>32412071+12619030</f>
        <v>45031101</v>
      </c>
      <c r="F6" s="19">
        <v>0</v>
      </c>
      <c r="G6" s="18">
        <v>0</v>
      </c>
      <c r="H6" s="18">
        <v>0</v>
      </c>
      <c r="I6" s="18">
        <v>0</v>
      </c>
      <c r="J6" s="18">
        <v>0</v>
      </c>
      <c r="K6" s="17">
        <v>0</v>
      </c>
      <c r="L6" s="18">
        <v>3</v>
      </c>
      <c r="M6" s="17">
        <v>7156</v>
      </c>
    </row>
    <row r="7" spans="1:13" s="3" customFormat="1" ht="24.75" customHeight="1">
      <c r="A7" s="13" t="s">
        <v>7</v>
      </c>
      <c r="B7" s="18">
        <f>82+146</f>
        <v>228</v>
      </c>
      <c r="C7" s="16">
        <f>15015016+103561456</f>
        <v>118576472</v>
      </c>
      <c r="D7" s="19">
        <f>82+146</f>
        <v>228</v>
      </c>
      <c r="E7" s="16">
        <f>15247523+67831420+138551+12467556</f>
        <v>95685050</v>
      </c>
      <c r="F7" s="19">
        <v>0</v>
      </c>
      <c r="G7" s="18">
        <v>0</v>
      </c>
      <c r="H7" s="18">
        <v>0</v>
      </c>
      <c r="I7" s="18">
        <v>0</v>
      </c>
      <c r="J7" s="18">
        <v>0</v>
      </c>
      <c r="K7" s="17">
        <v>0</v>
      </c>
      <c r="L7" s="18">
        <v>7</v>
      </c>
      <c r="M7" s="17">
        <v>31531</v>
      </c>
    </row>
    <row r="8" spans="1:13" s="3" customFormat="1" ht="24.75" customHeight="1">
      <c r="A8" s="13" t="s">
        <v>8</v>
      </c>
      <c r="B8" s="18">
        <f>78+114</f>
        <v>192</v>
      </c>
      <c r="C8" s="16">
        <f>14633964+132492800</f>
        <v>147126764</v>
      </c>
      <c r="D8" s="19">
        <f>78+112</f>
        <v>190</v>
      </c>
      <c r="E8" s="16">
        <f>15447671+40035876+73117+17840142</f>
        <v>73396806</v>
      </c>
      <c r="F8" s="19">
        <v>2</v>
      </c>
      <c r="G8" s="18">
        <v>0</v>
      </c>
      <c r="H8" s="18">
        <v>2</v>
      </c>
      <c r="I8" s="18">
        <v>0</v>
      </c>
      <c r="J8" s="18">
        <v>0</v>
      </c>
      <c r="K8" s="18">
        <v>0</v>
      </c>
      <c r="L8" s="18">
        <v>5</v>
      </c>
      <c r="M8" s="18">
        <v>0</v>
      </c>
    </row>
    <row r="9" spans="1:13" s="3" customFormat="1" ht="24.75" customHeight="1">
      <c r="A9" s="13" t="s">
        <v>9</v>
      </c>
      <c r="B9" s="18">
        <f>72+104</f>
        <v>176</v>
      </c>
      <c r="C9" s="16">
        <f>57658098+769163861</f>
        <v>826821959</v>
      </c>
      <c r="D9" s="19">
        <f>71+100</f>
        <v>171</v>
      </c>
      <c r="E9" s="16">
        <f>30220073+38490724+3248960</f>
        <v>71959757</v>
      </c>
      <c r="F9" s="19">
        <v>5</v>
      </c>
      <c r="G9" s="18">
        <v>0</v>
      </c>
      <c r="H9" s="18">
        <v>5</v>
      </c>
      <c r="I9" s="18">
        <v>0</v>
      </c>
      <c r="J9" s="18">
        <v>0</v>
      </c>
      <c r="K9" s="18">
        <v>0</v>
      </c>
      <c r="L9" s="18">
        <v>3</v>
      </c>
      <c r="M9" s="18">
        <v>0</v>
      </c>
    </row>
    <row r="10" spans="1:13" s="3" customFormat="1" ht="24.75" customHeight="1">
      <c r="A10" s="13" t="s">
        <v>10</v>
      </c>
      <c r="B10" s="18">
        <f>84+93</f>
        <v>177</v>
      </c>
      <c r="C10" s="16">
        <f>13142131+146152106</f>
        <v>159294237</v>
      </c>
      <c r="D10" s="19">
        <f>84+87</f>
        <v>171</v>
      </c>
      <c r="E10" s="16">
        <f>13138335+26186486+12039</f>
        <v>39336860</v>
      </c>
      <c r="F10" s="19">
        <v>6</v>
      </c>
      <c r="G10" s="18">
        <v>0</v>
      </c>
      <c r="H10" s="18">
        <v>6</v>
      </c>
      <c r="I10" s="18">
        <v>0</v>
      </c>
      <c r="J10" s="18">
        <v>0</v>
      </c>
      <c r="K10" s="18">
        <v>0</v>
      </c>
      <c r="L10" s="18">
        <v>3</v>
      </c>
      <c r="M10" s="18">
        <v>0</v>
      </c>
    </row>
    <row r="11" spans="1:13" s="3" customFormat="1" ht="24.75" customHeight="1">
      <c r="A11" s="13" t="s">
        <v>11</v>
      </c>
      <c r="B11" s="18">
        <f>102+103</f>
        <v>205</v>
      </c>
      <c r="C11" s="16">
        <f>26329161+90681262</f>
        <v>117010423</v>
      </c>
      <c r="D11" s="18">
        <f>102+103</f>
        <v>205</v>
      </c>
      <c r="E11" s="17">
        <f>14523476+86948821+11804153+3715161</f>
        <v>116991611</v>
      </c>
      <c r="F11" s="18">
        <v>0</v>
      </c>
      <c r="G11" s="18">
        <v>0</v>
      </c>
      <c r="H11" s="18">
        <v>0</v>
      </c>
      <c r="I11" s="18">
        <v>0</v>
      </c>
      <c r="J11" s="18">
        <v>0</v>
      </c>
      <c r="K11" s="18">
        <v>0</v>
      </c>
      <c r="L11" s="18">
        <v>2</v>
      </c>
      <c r="M11" s="18">
        <v>0</v>
      </c>
    </row>
    <row r="12" spans="1:13" s="3" customFormat="1" ht="24.75" customHeight="1">
      <c r="A12" s="13" t="s">
        <v>13</v>
      </c>
      <c r="B12" s="18">
        <f>102+109</f>
        <v>211</v>
      </c>
      <c r="C12" s="16">
        <f>25992585+81658193</f>
        <v>107650778</v>
      </c>
      <c r="D12" s="18">
        <f>102+108</f>
        <v>210</v>
      </c>
      <c r="E12" s="17">
        <f>25969480+32797157+23105+397521</f>
        <v>59187263</v>
      </c>
      <c r="F12" s="18">
        <v>1</v>
      </c>
      <c r="G12" s="18">
        <v>0</v>
      </c>
      <c r="H12" s="18">
        <v>1</v>
      </c>
      <c r="I12" s="18">
        <v>0</v>
      </c>
      <c r="J12" s="18">
        <v>0</v>
      </c>
      <c r="K12" s="17">
        <v>0</v>
      </c>
      <c r="L12" s="18">
        <v>3</v>
      </c>
      <c r="M12" s="17">
        <v>5452592</v>
      </c>
    </row>
    <row r="13" spans="1:13" s="3" customFormat="1" ht="24.75" customHeight="1">
      <c r="A13" s="13" t="s">
        <v>15</v>
      </c>
      <c r="B13" s="18">
        <f>127+118</f>
        <v>245</v>
      </c>
      <c r="C13" s="16">
        <f>73315155+56823456</f>
        <v>130138611</v>
      </c>
      <c r="D13" s="18">
        <f>127+115</f>
        <v>242</v>
      </c>
      <c r="E13" s="17">
        <f>73085130+13328819+230025+319155</f>
        <v>86963129</v>
      </c>
      <c r="F13" s="18">
        <v>3</v>
      </c>
      <c r="G13" s="18">
        <v>0</v>
      </c>
      <c r="H13" s="18">
        <v>3</v>
      </c>
      <c r="I13" s="18">
        <v>0</v>
      </c>
      <c r="J13" s="18">
        <v>0</v>
      </c>
      <c r="K13" s="17">
        <v>0</v>
      </c>
      <c r="L13" s="18">
        <v>2</v>
      </c>
      <c r="M13" s="18">
        <v>0</v>
      </c>
    </row>
    <row r="14" spans="1:13" s="3" customFormat="1" ht="24.75" customHeight="1">
      <c r="A14" s="13" t="s">
        <v>17</v>
      </c>
      <c r="B14" s="18">
        <f>108+88</f>
        <v>196</v>
      </c>
      <c r="C14" s="16">
        <f>75738345+27500010</f>
        <v>103238355</v>
      </c>
      <c r="D14" s="18">
        <f>107+84</f>
        <v>191</v>
      </c>
      <c r="E14" s="17">
        <f>70691250+15940775+6941+344495</f>
        <v>86983461</v>
      </c>
      <c r="F14" s="18">
        <v>5</v>
      </c>
      <c r="G14" s="18">
        <v>2</v>
      </c>
      <c r="H14" s="18">
        <v>3</v>
      </c>
      <c r="I14" s="18">
        <v>0</v>
      </c>
      <c r="J14" s="18">
        <v>0</v>
      </c>
      <c r="K14" s="14">
        <v>0</v>
      </c>
      <c r="L14" s="18">
        <v>7</v>
      </c>
      <c r="M14" s="18">
        <v>0</v>
      </c>
    </row>
    <row r="15" spans="1:13" s="3" customFormat="1" ht="24.75" customHeight="1">
      <c r="A15" s="13" t="s">
        <v>26</v>
      </c>
      <c r="B15" s="18">
        <f>90+84</f>
        <v>174</v>
      </c>
      <c r="C15" s="16">
        <f>19925901+11480427</f>
        <v>31406328</v>
      </c>
      <c r="D15" s="18">
        <f>90+82</f>
        <v>172</v>
      </c>
      <c r="E15" s="17">
        <f>19916246+8726032+1033760</f>
        <v>29676038</v>
      </c>
      <c r="F15" s="18">
        <v>2</v>
      </c>
      <c r="G15" s="18">
        <v>0</v>
      </c>
      <c r="H15" s="18">
        <v>2</v>
      </c>
      <c r="I15" s="18">
        <v>0</v>
      </c>
      <c r="J15" s="20">
        <v>0</v>
      </c>
      <c r="K15" s="14">
        <v>0</v>
      </c>
      <c r="L15" s="14">
        <v>10</v>
      </c>
      <c r="M15" s="17">
        <v>2064564</v>
      </c>
    </row>
    <row r="16" spans="1:13" s="3" customFormat="1" ht="24.75" customHeight="1">
      <c r="A16" s="13" t="s">
        <v>27</v>
      </c>
      <c r="B16" s="18">
        <f>75+72</f>
        <v>147</v>
      </c>
      <c r="C16" s="16">
        <f>16590630+35978023</f>
        <v>52568653</v>
      </c>
      <c r="D16" s="18">
        <f>75+68</f>
        <v>143</v>
      </c>
      <c r="E16" s="17">
        <f>16590630+33084155+1388617</f>
        <v>51063402</v>
      </c>
      <c r="F16" s="18">
        <v>4</v>
      </c>
      <c r="G16" s="18">
        <v>3</v>
      </c>
      <c r="H16" s="18">
        <v>1</v>
      </c>
      <c r="I16" s="18">
        <v>0</v>
      </c>
      <c r="J16" s="20">
        <v>1</v>
      </c>
      <c r="K16" s="14">
        <v>0</v>
      </c>
      <c r="L16" s="14">
        <v>38</v>
      </c>
      <c r="M16" s="30">
        <v>568393</v>
      </c>
    </row>
    <row r="17" spans="1:13" s="3" customFormat="1" ht="24.75" customHeight="1">
      <c r="A17" s="13" t="s">
        <v>33</v>
      </c>
      <c r="B17" s="18">
        <f>108+91</f>
        <v>199</v>
      </c>
      <c r="C17" s="16">
        <f>29635559+53978544</f>
        <v>83614103</v>
      </c>
      <c r="D17" s="18">
        <f>107+86</f>
        <v>193</v>
      </c>
      <c r="E17" s="17">
        <f>29623954+38819328+1472908</f>
        <v>69916190</v>
      </c>
      <c r="F17" s="18">
        <v>6</v>
      </c>
      <c r="G17" s="18">
        <v>5</v>
      </c>
      <c r="H17" s="18">
        <v>0</v>
      </c>
      <c r="I17" s="18">
        <v>1</v>
      </c>
      <c r="J17" s="20">
        <v>1</v>
      </c>
      <c r="K17" s="14">
        <f>69916190-69889934</f>
        <v>26256</v>
      </c>
      <c r="L17" s="14">
        <v>161</v>
      </c>
      <c r="M17" s="14">
        <f>67955590+26256</f>
        <v>67981846</v>
      </c>
    </row>
    <row r="18" spans="1:13" s="3" customFormat="1" ht="24.75" customHeight="1">
      <c r="A18" s="13" t="s">
        <v>99</v>
      </c>
      <c r="B18" s="18">
        <f>67+85</f>
        <v>152</v>
      </c>
      <c r="C18" s="16">
        <f>8939716+13899877</f>
        <v>22839593</v>
      </c>
      <c r="D18" s="18">
        <f>61+78</f>
        <v>139</v>
      </c>
      <c r="E18" s="17">
        <f>7666517+11120098+964170+1379502</f>
        <v>21130287</v>
      </c>
      <c r="F18" s="18">
        <v>13</v>
      </c>
      <c r="G18" s="18">
        <v>13</v>
      </c>
      <c r="H18" s="18">
        <v>0</v>
      </c>
      <c r="I18" s="18">
        <v>0</v>
      </c>
      <c r="J18" s="20">
        <v>73</v>
      </c>
      <c r="K18" s="14">
        <f>21130297-6609614</f>
        <v>14520683</v>
      </c>
      <c r="L18" s="14">
        <f>66+73</f>
        <v>139</v>
      </c>
      <c r="M18" s="14">
        <f>6609614+14520683</f>
        <v>21130297</v>
      </c>
    </row>
    <row r="19" spans="1:13" s="3" customFormat="1" ht="24.75" customHeight="1">
      <c r="A19" s="13" t="s">
        <v>6</v>
      </c>
      <c r="B19" s="17">
        <f aca="true" t="shared" si="0" ref="B19:M19">SUM(B2:B18)</f>
        <v>2787</v>
      </c>
      <c r="C19" s="17">
        <f t="shared" si="0"/>
        <v>2236986259</v>
      </c>
      <c r="D19" s="17">
        <f t="shared" si="0"/>
        <v>2740</v>
      </c>
      <c r="E19" s="17">
        <f t="shared" si="0"/>
        <v>1106490424</v>
      </c>
      <c r="F19" s="19">
        <f t="shared" si="0"/>
        <v>47</v>
      </c>
      <c r="G19" s="18">
        <f t="shared" si="0"/>
        <v>23</v>
      </c>
      <c r="H19" s="17">
        <f t="shared" si="0"/>
        <v>23</v>
      </c>
      <c r="I19" s="18">
        <f t="shared" si="0"/>
        <v>1</v>
      </c>
      <c r="J19" s="20">
        <f t="shared" si="0"/>
        <v>75</v>
      </c>
      <c r="K19" s="14">
        <f t="shared" si="0"/>
        <v>14546939</v>
      </c>
      <c r="L19" s="20">
        <f t="shared" si="0"/>
        <v>387</v>
      </c>
      <c r="M19" s="17">
        <f t="shared" si="0"/>
        <v>97236379</v>
      </c>
    </row>
    <row r="20" spans="1:14" s="3" customFormat="1" ht="9.75" customHeight="1">
      <c r="A20" s="4"/>
      <c r="B20" s="22"/>
      <c r="C20" s="23"/>
      <c r="D20" s="22"/>
      <c r="E20" s="24"/>
      <c r="F20" s="22"/>
      <c r="G20" s="22"/>
      <c r="H20" s="22"/>
      <c r="I20" s="22"/>
      <c r="J20" s="25"/>
      <c r="K20" s="25"/>
      <c r="L20" s="25"/>
      <c r="M20" s="25"/>
      <c r="N20" s="25"/>
    </row>
    <row r="21" spans="1:13" s="3" customFormat="1" ht="30" customHeight="1">
      <c r="A21" s="33" t="s">
        <v>16</v>
      </c>
      <c r="B21" s="33"/>
      <c r="C21" s="33"/>
      <c r="D21" s="33"/>
      <c r="E21" s="33"/>
      <c r="F21" s="33"/>
      <c r="G21" s="33"/>
      <c r="H21" s="33"/>
      <c r="I21" s="33"/>
      <c r="J21" s="12"/>
      <c r="K21" s="12"/>
      <c r="L21" s="12"/>
      <c r="M21" s="12"/>
    </row>
    <row r="22" spans="1:13" s="7" customFormat="1" ht="30" customHeight="1">
      <c r="A22" s="33" t="s">
        <v>100</v>
      </c>
      <c r="B22" s="33"/>
      <c r="C22" s="33"/>
      <c r="D22" s="33"/>
      <c r="E22" s="33"/>
      <c r="F22" s="33"/>
      <c r="G22" s="33"/>
      <c r="H22" s="33"/>
      <c r="I22" s="33"/>
      <c r="J22" s="33"/>
      <c r="K22" s="33"/>
      <c r="L22" s="33"/>
      <c r="M22" s="33"/>
    </row>
    <row r="23" spans="1:5" s="3" customFormat="1" ht="30" customHeight="1">
      <c r="A23" s="34"/>
      <c r="B23" s="34"/>
      <c r="C23" s="34"/>
      <c r="E23" s="5"/>
    </row>
    <row r="24" spans="1:9" s="3" customFormat="1" ht="30" customHeight="1">
      <c r="A24" s="8"/>
      <c r="C24" s="10"/>
      <c r="E24" s="5"/>
      <c r="I24" s="6"/>
    </row>
    <row r="25" spans="3:9" s="3" customFormat="1" ht="30" customHeight="1">
      <c r="C25" s="10"/>
      <c r="E25" s="5"/>
      <c r="I25" s="9"/>
    </row>
    <row r="26" spans="3:5" s="3" customFormat="1" ht="30" customHeight="1">
      <c r="C26" s="10"/>
      <c r="E26" s="5"/>
    </row>
    <row r="27" spans="1:5" s="3" customFormat="1" ht="30" customHeight="1">
      <c r="A27" s="34"/>
      <c r="B27" s="34"/>
      <c r="C27" s="34"/>
      <c r="D27" s="34"/>
      <c r="E27" s="34"/>
    </row>
    <row r="28" spans="1:5" s="3" customFormat="1" ht="30" customHeight="1">
      <c r="A28" s="34"/>
      <c r="B28" s="34"/>
      <c r="C28" s="34"/>
      <c r="D28" s="34"/>
      <c r="E28" s="34"/>
    </row>
  </sheetData>
  <mergeCells count="4">
    <mergeCell ref="A21:I21"/>
    <mergeCell ref="A22:M22"/>
    <mergeCell ref="A23:C23"/>
    <mergeCell ref="A27:E28"/>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Roman,粗體"92.9.30&amp;"Times New Roman,標準"
</oddFooter>
  </headerFooter>
</worksheet>
</file>

<file path=xl/worksheets/sheet5.xml><?xml version="1.0" encoding="utf-8"?>
<worksheet xmlns="http://schemas.openxmlformats.org/spreadsheetml/2006/main" xmlns:r="http://schemas.openxmlformats.org/officeDocument/2006/relationships">
  <dimension ref="A1:N33"/>
  <sheetViews>
    <sheetView tabSelected="1" workbookViewId="0" topLeftCell="A1">
      <selection activeCell="E13" sqref="E13"/>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5.00390625" style="1" customWidth="1"/>
    <col min="13" max="13" width="16.25390625" style="1" customWidth="1"/>
    <col min="14" max="14" width="12.25390625" style="1" customWidth="1"/>
    <col min="15" max="16384" width="9.00390625" style="1" customWidth="1"/>
  </cols>
  <sheetData>
    <row r="1" spans="1:13" s="29" customFormat="1" ht="34.5" customHeight="1">
      <c r="A1" s="26" t="s">
        <v>105</v>
      </c>
      <c r="B1" s="26" t="s">
        <v>106</v>
      </c>
      <c r="C1" s="26" t="s">
        <v>107</v>
      </c>
      <c r="D1" s="27" t="s">
        <v>108</v>
      </c>
      <c r="E1" s="26" t="s">
        <v>109</v>
      </c>
      <c r="F1" s="27" t="s">
        <v>110</v>
      </c>
      <c r="G1" s="26" t="s">
        <v>111</v>
      </c>
      <c r="H1" s="26" t="s">
        <v>112</v>
      </c>
      <c r="I1" s="26" t="s">
        <v>113</v>
      </c>
      <c r="J1" s="28" t="s">
        <v>139</v>
      </c>
      <c r="K1" s="28" t="s">
        <v>140</v>
      </c>
      <c r="L1" s="21" t="s">
        <v>141</v>
      </c>
      <c r="M1" s="21" t="s">
        <v>142</v>
      </c>
    </row>
    <row r="2" spans="1:13" s="3" customFormat="1" ht="24.75" customHeight="1">
      <c r="A2" s="13" t="s">
        <v>114</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115</v>
      </c>
      <c r="B3" s="18">
        <v>57</v>
      </c>
      <c r="C3" s="15">
        <v>20495283</v>
      </c>
      <c r="D3" s="19">
        <v>57</v>
      </c>
      <c r="E3" s="16">
        <v>18659741</v>
      </c>
      <c r="F3" s="19">
        <v>0</v>
      </c>
      <c r="G3" s="18">
        <v>0</v>
      </c>
      <c r="H3" s="18">
        <v>0</v>
      </c>
      <c r="I3" s="18">
        <v>0</v>
      </c>
      <c r="J3" s="18">
        <v>0</v>
      </c>
      <c r="K3" s="18">
        <v>0</v>
      </c>
      <c r="L3" s="18">
        <v>0</v>
      </c>
      <c r="M3" s="18">
        <v>0</v>
      </c>
    </row>
    <row r="4" spans="1:13" s="3" customFormat="1" ht="24.75" customHeight="1">
      <c r="A4" s="13" t="s">
        <v>116</v>
      </c>
      <c r="B4" s="18">
        <v>129</v>
      </c>
      <c r="C4" s="15">
        <v>63325559</v>
      </c>
      <c r="D4" s="19">
        <v>129</v>
      </c>
      <c r="E4" s="16">
        <v>54518849</v>
      </c>
      <c r="F4" s="19">
        <v>0</v>
      </c>
      <c r="G4" s="18">
        <v>0</v>
      </c>
      <c r="H4" s="18">
        <v>0</v>
      </c>
      <c r="I4" s="18">
        <v>0</v>
      </c>
      <c r="J4" s="18">
        <v>0</v>
      </c>
      <c r="K4" s="18">
        <v>0</v>
      </c>
      <c r="L4" s="18">
        <v>0</v>
      </c>
      <c r="M4" s="18">
        <v>0</v>
      </c>
    </row>
    <row r="5" spans="1:13" s="3" customFormat="1" ht="24.75" customHeight="1">
      <c r="A5" s="13" t="s">
        <v>117</v>
      </c>
      <c r="B5" s="18">
        <v>117</v>
      </c>
      <c r="C5" s="15">
        <v>107710560</v>
      </c>
      <c r="D5" s="19">
        <v>117</v>
      </c>
      <c r="E5" s="16">
        <f>64161343+44111999</f>
        <v>108273342</v>
      </c>
      <c r="F5" s="19">
        <v>0</v>
      </c>
      <c r="G5" s="18">
        <v>0</v>
      </c>
      <c r="H5" s="18">
        <v>0</v>
      </c>
      <c r="I5" s="18">
        <v>0</v>
      </c>
      <c r="J5" s="18">
        <v>0</v>
      </c>
      <c r="K5" s="18">
        <v>0</v>
      </c>
      <c r="L5" s="18">
        <v>0</v>
      </c>
      <c r="M5" s="18">
        <v>0</v>
      </c>
    </row>
    <row r="6" spans="1:13" s="3" customFormat="1" ht="24.75" customHeight="1">
      <c r="A6" s="13" t="s">
        <v>118</v>
      </c>
      <c r="B6" s="18">
        <v>98</v>
      </c>
      <c r="C6" s="15">
        <v>64898557</v>
      </c>
      <c r="D6" s="19">
        <v>98</v>
      </c>
      <c r="E6" s="15">
        <f>32412071+12619030</f>
        <v>45031101</v>
      </c>
      <c r="F6" s="19">
        <v>0</v>
      </c>
      <c r="G6" s="18">
        <v>0</v>
      </c>
      <c r="H6" s="18">
        <v>0</v>
      </c>
      <c r="I6" s="18">
        <v>0</v>
      </c>
      <c r="J6" s="18">
        <v>0</v>
      </c>
      <c r="K6" s="17">
        <v>0</v>
      </c>
      <c r="L6" s="18">
        <v>0</v>
      </c>
      <c r="M6" s="17">
        <v>0</v>
      </c>
    </row>
    <row r="7" spans="1:13" s="3" customFormat="1" ht="24.75" customHeight="1">
      <c r="A7" s="13" t="s">
        <v>119</v>
      </c>
      <c r="B7" s="18">
        <f>82+146</f>
        <v>228</v>
      </c>
      <c r="C7" s="16">
        <f>15015016+103561456</f>
        <v>118576472</v>
      </c>
      <c r="D7" s="19">
        <f>82+146</f>
        <v>228</v>
      </c>
      <c r="E7" s="16">
        <f>15247523+67831420+138551+12467556</f>
        <v>95685050</v>
      </c>
      <c r="F7" s="19">
        <v>0</v>
      </c>
      <c r="G7" s="18">
        <v>0</v>
      </c>
      <c r="H7" s="18">
        <v>0</v>
      </c>
      <c r="I7" s="18">
        <v>0</v>
      </c>
      <c r="J7" s="18">
        <v>0</v>
      </c>
      <c r="K7" s="17">
        <v>0</v>
      </c>
      <c r="L7" s="18">
        <v>0</v>
      </c>
      <c r="M7" s="17">
        <v>0</v>
      </c>
    </row>
    <row r="8" spans="1:13" s="3" customFormat="1" ht="24.75" customHeight="1">
      <c r="A8" s="13" t="s">
        <v>120</v>
      </c>
      <c r="B8" s="18">
        <f>78+114</f>
        <v>192</v>
      </c>
      <c r="C8" s="16">
        <f>14633964+132492800</f>
        <v>147126764</v>
      </c>
      <c r="D8" s="19">
        <f>78+112</f>
        <v>190</v>
      </c>
      <c r="E8" s="16">
        <f>15447671+40035876+73117+17840142</f>
        <v>73396806</v>
      </c>
      <c r="F8" s="19">
        <v>2</v>
      </c>
      <c r="G8" s="18">
        <v>0</v>
      </c>
      <c r="H8" s="18">
        <v>2</v>
      </c>
      <c r="I8" s="18">
        <v>0</v>
      </c>
      <c r="J8" s="18">
        <v>0</v>
      </c>
      <c r="K8" s="18">
        <v>0</v>
      </c>
      <c r="L8" s="18">
        <v>0</v>
      </c>
      <c r="M8" s="18">
        <v>0</v>
      </c>
    </row>
    <row r="9" spans="1:13" s="3" customFormat="1" ht="24.75" customHeight="1">
      <c r="A9" s="13" t="s">
        <v>121</v>
      </c>
      <c r="B9" s="18">
        <f>72+104</f>
        <v>176</v>
      </c>
      <c r="C9" s="16">
        <f>57658098+769163861</f>
        <v>826821959</v>
      </c>
      <c r="D9" s="19">
        <f>71+100</f>
        <v>171</v>
      </c>
      <c r="E9" s="16">
        <f>30220073+38490724+3248960</f>
        <v>71959757</v>
      </c>
      <c r="F9" s="19">
        <v>5</v>
      </c>
      <c r="G9" s="18">
        <v>0</v>
      </c>
      <c r="H9" s="18">
        <v>5</v>
      </c>
      <c r="I9" s="18">
        <v>0</v>
      </c>
      <c r="J9" s="18">
        <v>0</v>
      </c>
      <c r="K9" s="18">
        <v>0</v>
      </c>
      <c r="L9" s="18">
        <v>0</v>
      </c>
      <c r="M9" s="18">
        <v>0</v>
      </c>
    </row>
    <row r="10" spans="1:13" s="3" customFormat="1" ht="24.75" customHeight="1">
      <c r="A10" s="13" t="s">
        <v>122</v>
      </c>
      <c r="B10" s="18">
        <f>84+93</f>
        <v>177</v>
      </c>
      <c r="C10" s="16">
        <f>13142131+146152106</f>
        <v>159294237</v>
      </c>
      <c r="D10" s="19">
        <f>84+87</f>
        <v>171</v>
      </c>
      <c r="E10" s="16">
        <f>13138335+26186486+12039</f>
        <v>39336860</v>
      </c>
      <c r="F10" s="19">
        <v>6</v>
      </c>
      <c r="G10" s="18">
        <v>0</v>
      </c>
      <c r="H10" s="18">
        <v>6</v>
      </c>
      <c r="I10" s="18">
        <v>0</v>
      </c>
      <c r="J10" s="18">
        <v>0</v>
      </c>
      <c r="K10" s="18">
        <v>0</v>
      </c>
      <c r="L10" s="18">
        <v>0</v>
      </c>
      <c r="M10" s="18">
        <v>0</v>
      </c>
    </row>
    <row r="11" spans="1:13" s="3" customFormat="1" ht="24.75" customHeight="1">
      <c r="A11" s="13" t="s">
        <v>123</v>
      </c>
      <c r="B11" s="18">
        <f>102+103</f>
        <v>205</v>
      </c>
      <c r="C11" s="16">
        <f>26329161+90681262</f>
        <v>117010423</v>
      </c>
      <c r="D11" s="18">
        <f>102+103</f>
        <v>205</v>
      </c>
      <c r="E11" s="17">
        <f>14523476+86948821+11804153+3715161</f>
        <v>116991611</v>
      </c>
      <c r="F11" s="18">
        <v>0</v>
      </c>
      <c r="G11" s="18">
        <v>0</v>
      </c>
      <c r="H11" s="18">
        <v>0</v>
      </c>
      <c r="I11" s="18">
        <v>0</v>
      </c>
      <c r="J11" s="18">
        <v>0</v>
      </c>
      <c r="K11" s="18">
        <v>0</v>
      </c>
      <c r="L11" s="18">
        <v>0</v>
      </c>
      <c r="M11" s="18">
        <v>0</v>
      </c>
    </row>
    <row r="12" spans="1:13" s="3" customFormat="1" ht="24.75" customHeight="1">
      <c r="A12" s="13" t="s">
        <v>124</v>
      </c>
      <c r="B12" s="18">
        <f>102+109</f>
        <v>211</v>
      </c>
      <c r="C12" s="16">
        <f>25992585+81658193</f>
        <v>107650778</v>
      </c>
      <c r="D12" s="18">
        <f>102+109</f>
        <v>211</v>
      </c>
      <c r="E12" s="17">
        <f>25969480+45499649+23105+397521</f>
        <v>71889755</v>
      </c>
      <c r="F12" s="18">
        <v>0</v>
      </c>
      <c r="G12" s="18">
        <v>0</v>
      </c>
      <c r="H12" s="18">
        <v>0</v>
      </c>
      <c r="I12" s="18">
        <v>0</v>
      </c>
      <c r="J12" s="18">
        <v>0</v>
      </c>
      <c r="K12" s="17">
        <v>0</v>
      </c>
      <c r="L12" s="18">
        <v>0</v>
      </c>
      <c r="M12" s="17">
        <v>0</v>
      </c>
    </row>
    <row r="13" spans="1:13" s="3" customFormat="1" ht="24.75" customHeight="1">
      <c r="A13" s="13" t="s">
        <v>125</v>
      </c>
      <c r="B13" s="18">
        <f>127+118</f>
        <v>245</v>
      </c>
      <c r="C13" s="16">
        <f>73315155+56823456</f>
        <v>130138611</v>
      </c>
      <c r="D13" s="18">
        <f>127+117</f>
        <v>244</v>
      </c>
      <c r="E13" s="17">
        <f>73085130+24577807+230025+319155</f>
        <v>98212117</v>
      </c>
      <c r="F13" s="18">
        <v>1</v>
      </c>
      <c r="G13" s="18">
        <v>0</v>
      </c>
      <c r="H13" s="18">
        <v>1</v>
      </c>
      <c r="I13" s="18">
        <v>0</v>
      </c>
      <c r="J13" s="18">
        <v>0</v>
      </c>
      <c r="K13" s="17">
        <v>0</v>
      </c>
      <c r="L13" s="18">
        <v>0</v>
      </c>
      <c r="M13" s="17">
        <v>0</v>
      </c>
    </row>
    <row r="14" spans="1:13" s="3" customFormat="1" ht="24.75" customHeight="1">
      <c r="A14" s="13" t="s">
        <v>126</v>
      </c>
      <c r="B14" s="18">
        <f>108+88</f>
        <v>196</v>
      </c>
      <c r="C14" s="16">
        <f>75738345+27500010</f>
        <v>103238355</v>
      </c>
      <c r="D14" s="18">
        <f>107+84</f>
        <v>191</v>
      </c>
      <c r="E14" s="17">
        <f>70691250+15940775+6941+344495</f>
        <v>86983461</v>
      </c>
      <c r="F14" s="18">
        <v>5</v>
      </c>
      <c r="G14" s="18">
        <v>2</v>
      </c>
      <c r="H14" s="18">
        <v>3</v>
      </c>
      <c r="I14" s="18">
        <v>0</v>
      </c>
      <c r="J14" s="18">
        <v>0</v>
      </c>
      <c r="K14" s="14">
        <v>0</v>
      </c>
      <c r="L14" s="18">
        <v>0</v>
      </c>
      <c r="M14" s="14">
        <v>0</v>
      </c>
    </row>
    <row r="15" spans="1:13" s="3" customFormat="1" ht="24.75" customHeight="1">
      <c r="A15" s="13" t="s">
        <v>127</v>
      </c>
      <c r="B15" s="18">
        <f>90+84</f>
        <v>174</v>
      </c>
      <c r="C15" s="16">
        <f>19925901+11480427</f>
        <v>31406328</v>
      </c>
      <c r="D15" s="18">
        <f>90+82</f>
        <v>172</v>
      </c>
      <c r="E15" s="17">
        <f>19916246+8726032+1033760</f>
        <v>29676038</v>
      </c>
      <c r="F15" s="18">
        <v>2</v>
      </c>
      <c r="G15" s="18">
        <v>0</v>
      </c>
      <c r="H15" s="18">
        <v>2</v>
      </c>
      <c r="I15" s="18">
        <v>0</v>
      </c>
      <c r="J15" s="18">
        <v>0</v>
      </c>
      <c r="K15" s="14">
        <v>0</v>
      </c>
      <c r="L15" s="18">
        <v>0</v>
      </c>
      <c r="M15" s="14">
        <v>0</v>
      </c>
    </row>
    <row r="16" spans="1:13" s="3" customFormat="1" ht="24.75" customHeight="1">
      <c r="A16" s="13" t="s">
        <v>128</v>
      </c>
      <c r="B16" s="18">
        <f>75+72</f>
        <v>147</v>
      </c>
      <c r="C16" s="16">
        <f>16590630+35978023</f>
        <v>52568653</v>
      </c>
      <c r="D16" s="18">
        <f>75+71</f>
        <v>146</v>
      </c>
      <c r="E16" s="17">
        <f>16590630+34557533+1388617</f>
        <v>52536780</v>
      </c>
      <c r="F16" s="18">
        <v>1</v>
      </c>
      <c r="G16" s="18">
        <v>0</v>
      </c>
      <c r="H16" s="18">
        <v>1</v>
      </c>
      <c r="I16" s="18">
        <v>0</v>
      </c>
      <c r="J16" s="18">
        <v>0</v>
      </c>
      <c r="K16" s="14">
        <v>0</v>
      </c>
      <c r="L16" s="18">
        <v>0</v>
      </c>
      <c r="M16" s="14">
        <v>0</v>
      </c>
    </row>
    <row r="17" spans="1:13" s="3" customFormat="1" ht="24.75" customHeight="1">
      <c r="A17" s="13" t="s">
        <v>129</v>
      </c>
      <c r="B17" s="18">
        <f>108+91</f>
        <v>199</v>
      </c>
      <c r="C17" s="16">
        <f>29635559+53978544</f>
        <v>83614103</v>
      </c>
      <c r="D17" s="18">
        <f>108+89</f>
        <v>197</v>
      </c>
      <c r="E17" s="17">
        <f>29635559+40313963+12275066</f>
        <v>82224588</v>
      </c>
      <c r="F17" s="18">
        <v>2</v>
      </c>
      <c r="G17" s="18">
        <v>0</v>
      </c>
      <c r="H17" s="18">
        <v>2</v>
      </c>
      <c r="I17" s="18">
        <v>0</v>
      </c>
      <c r="J17" s="18">
        <v>0</v>
      </c>
      <c r="K17" s="14">
        <v>0</v>
      </c>
      <c r="L17" s="18">
        <v>0</v>
      </c>
      <c r="M17" s="14">
        <v>0</v>
      </c>
    </row>
    <row r="18" spans="1:13" s="3" customFormat="1" ht="24.75" customHeight="1">
      <c r="A18" s="13" t="s">
        <v>130</v>
      </c>
      <c r="B18" s="18">
        <f>67+85</f>
        <v>152</v>
      </c>
      <c r="C18" s="16">
        <f>8939716+13899877</f>
        <v>22839593</v>
      </c>
      <c r="D18" s="18">
        <f>67+85</f>
        <v>152</v>
      </c>
      <c r="E18" s="17">
        <f>7975546+12520375+964170+1379502</f>
        <v>22839593</v>
      </c>
      <c r="F18" s="18">
        <v>0</v>
      </c>
      <c r="G18" s="18">
        <v>0</v>
      </c>
      <c r="H18" s="18">
        <v>0</v>
      </c>
      <c r="I18" s="18">
        <v>0</v>
      </c>
      <c r="J18" s="18">
        <v>0</v>
      </c>
      <c r="K18" s="14">
        <v>0</v>
      </c>
      <c r="L18" s="18">
        <v>0</v>
      </c>
      <c r="M18" s="14">
        <v>0</v>
      </c>
    </row>
    <row r="19" spans="1:13" s="3" customFormat="1" ht="24.75" customHeight="1">
      <c r="A19" s="13" t="s">
        <v>131</v>
      </c>
      <c r="B19" s="18">
        <f>90+84</f>
        <v>174</v>
      </c>
      <c r="C19" s="16">
        <f>6247454+7071247</f>
        <v>13318701</v>
      </c>
      <c r="D19" s="18">
        <f>90+84</f>
        <v>174</v>
      </c>
      <c r="E19" s="17">
        <f>5013022+4966330+1234432+2104917</f>
        <v>13318701</v>
      </c>
      <c r="F19" s="18">
        <v>0</v>
      </c>
      <c r="G19" s="18">
        <v>0</v>
      </c>
      <c r="H19" s="18">
        <v>0</v>
      </c>
      <c r="I19" s="18">
        <v>0</v>
      </c>
      <c r="J19" s="18">
        <v>0</v>
      </c>
      <c r="K19" s="14">
        <v>0</v>
      </c>
      <c r="L19" s="18">
        <v>1</v>
      </c>
      <c r="M19" s="14">
        <v>0</v>
      </c>
    </row>
    <row r="20" spans="1:13" s="3" customFormat="1" ht="24.75" customHeight="1">
      <c r="A20" s="13" t="s">
        <v>132</v>
      </c>
      <c r="B20" s="18">
        <f>148+179</f>
        <v>327</v>
      </c>
      <c r="C20" s="16">
        <f>19692294+12711501</f>
        <v>32403795</v>
      </c>
      <c r="D20" s="18">
        <f>146+178</f>
        <v>324</v>
      </c>
      <c r="E20" s="17">
        <f>11800009+7168539+8680195+3592545</f>
        <v>31241288</v>
      </c>
      <c r="F20" s="18">
        <f>2+1</f>
        <v>3</v>
      </c>
      <c r="G20" s="18">
        <f>0+0</f>
        <v>0</v>
      </c>
      <c r="H20" s="18">
        <f>2+1</f>
        <v>3</v>
      </c>
      <c r="I20" s="18">
        <f>0+0</f>
        <v>0</v>
      </c>
      <c r="J20" s="18">
        <f>324-322</f>
        <v>2</v>
      </c>
      <c r="K20" s="14">
        <f>31241288-31196372</f>
        <v>44916</v>
      </c>
      <c r="L20" s="18">
        <f>11+8+2+2</f>
        <v>23</v>
      </c>
      <c r="M20" s="14">
        <f>2659392+5875535+7068+44916</f>
        <v>8586911</v>
      </c>
    </row>
    <row r="21" spans="1:13" s="3" customFormat="1" ht="24.75" customHeight="1">
      <c r="A21" s="13" t="s">
        <v>133</v>
      </c>
      <c r="B21" s="18">
        <f>182+236</f>
        <v>418</v>
      </c>
      <c r="C21" s="16">
        <f>24015675+27193317</f>
        <v>51208992</v>
      </c>
      <c r="D21" s="18">
        <f>170+227</f>
        <v>397</v>
      </c>
      <c r="E21" s="17">
        <f>14641727+614082+23548709+2011493</f>
        <v>40816011</v>
      </c>
      <c r="F21" s="18">
        <f>11+1+9</f>
        <v>21</v>
      </c>
      <c r="G21" s="18">
        <f>11+9</f>
        <v>20</v>
      </c>
      <c r="H21" s="18">
        <v>0</v>
      </c>
      <c r="I21" s="18">
        <f>1+0</f>
        <v>1</v>
      </c>
      <c r="J21" s="18">
        <f>397-391</f>
        <v>6</v>
      </c>
      <c r="K21" s="14">
        <f>40816011-40524403</f>
        <v>291608</v>
      </c>
      <c r="L21" s="18">
        <f>275+21+2+6</f>
        <v>304</v>
      </c>
      <c r="M21" s="14">
        <f>32656049+2910477+84724+291608</f>
        <v>35942858</v>
      </c>
    </row>
    <row r="22" spans="1:13" s="3" customFormat="1" ht="24.75" customHeight="1">
      <c r="A22" s="13" t="s">
        <v>134</v>
      </c>
      <c r="B22" s="18">
        <f>81+135</f>
        <v>216</v>
      </c>
      <c r="C22" s="16">
        <f>15962400+18235197</f>
        <v>34197597</v>
      </c>
      <c r="D22" s="18">
        <f>74+125</f>
        <v>199</v>
      </c>
      <c r="E22" s="17">
        <f>15239410+286013+8013441+720733</f>
        <v>24259597</v>
      </c>
      <c r="F22" s="18">
        <f>6+1+7+3</f>
        <v>17</v>
      </c>
      <c r="G22" s="18">
        <f>6+7</f>
        <v>13</v>
      </c>
      <c r="H22" s="18">
        <v>0</v>
      </c>
      <c r="I22" s="18">
        <f>1+3</f>
        <v>4</v>
      </c>
      <c r="J22" s="18">
        <f>199-191</f>
        <v>8</v>
      </c>
      <c r="K22" s="14">
        <f>24259597-23402296</f>
        <v>857301</v>
      </c>
      <c r="L22" s="18">
        <f>89+102+8</f>
        <v>199</v>
      </c>
      <c r="M22" s="14">
        <f>12977946+10424350+857301</f>
        <v>24259597</v>
      </c>
    </row>
    <row r="23" spans="1:13" s="3" customFormat="1" ht="24.75" customHeight="1">
      <c r="A23" s="13" t="s">
        <v>138</v>
      </c>
      <c r="B23" s="18">
        <f>79+95</f>
        <v>174</v>
      </c>
      <c r="C23" s="16">
        <f>6052498+4138328</f>
        <v>10190826</v>
      </c>
      <c r="D23" s="32">
        <f>57+66</f>
        <v>123</v>
      </c>
      <c r="E23" s="17">
        <f>2293690+135658+1662528+778412</f>
        <v>4870288</v>
      </c>
      <c r="F23" s="18">
        <f>20+2+23+6</f>
        <v>51</v>
      </c>
      <c r="G23" s="18">
        <f>20+23</f>
        <v>43</v>
      </c>
      <c r="H23" s="18">
        <f>0+0</f>
        <v>0</v>
      </c>
      <c r="I23" s="18">
        <f>2+6</f>
        <v>8</v>
      </c>
      <c r="J23" s="32">
        <f>123-0</f>
        <v>123</v>
      </c>
      <c r="K23" s="14">
        <f>4870288-0</f>
        <v>4870288</v>
      </c>
      <c r="L23" s="32">
        <f>123-0</f>
        <v>123</v>
      </c>
      <c r="M23" s="14">
        <f>4870288-0</f>
        <v>4870288</v>
      </c>
    </row>
    <row r="24" spans="1:13" s="3" customFormat="1" ht="24.75" customHeight="1">
      <c r="A24" s="13" t="s">
        <v>135</v>
      </c>
      <c r="B24" s="31">
        <f aca="true" t="shared" si="0" ref="B24:M24">SUM(B2:B23)</f>
        <v>4096</v>
      </c>
      <c r="C24" s="17">
        <f t="shared" si="0"/>
        <v>2378306170</v>
      </c>
      <c r="D24" s="17">
        <f t="shared" si="0"/>
        <v>3980</v>
      </c>
      <c r="E24" s="17">
        <f t="shared" si="0"/>
        <v>1260438871</v>
      </c>
      <c r="F24" s="19">
        <f t="shared" si="0"/>
        <v>116</v>
      </c>
      <c r="G24" s="18">
        <f t="shared" si="0"/>
        <v>78</v>
      </c>
      <c r="H24" s="17">
        <f t="shared" si="0"/>
        <v>25</v>
      </c>
      <c r="I24" s="18">
        <f t="shared" si="0"/>
        <v>13</v>
      </c>
      <c r="J24" s="20">
        <f t="shared" si="0"/>
        <v>139</v>
      </c>
      <c r="K24" s="14">
        <f t="shared" si="0"/>
        <v>6064113</v>
      </c>
      <c r="L24" s="20">
        <f t="shared" si="0"/>
        <v>650</v>
      </c>
      <c r="M24" s="17">
        <f t="shared" si="0"/>
        <v>73659654</v>
      </c>
    </row>
    <row r="25" spans="1:14" s="3" customFormat="1" ht="17.25" customHeight="1">
      <c r="A25" s="35" t="s">
        <v>136</v>
      </c>
      <c r="B25" s="36"/>
      <c r="C25" s="36"/>
      <c r="D25" s="36"/>
      <c r="E25" s="36"/>
      <c r="F25" s="36"/>
      <c r="G25" s="36"/>
      <c r="H25" s="36"/>
      <c r="I25" s="36"/>
      <c r="J25" s="25"/>
      <c r="K25" s="25"/>
      <c r="L25" s="25"/>
      <c r="M25" s="25"/>
      <c r="N25" s="25"/>
    </row>
    <row r="26" spans="1:13" s="3" customFormat="1" ht="18" customHeight="1">
      <c r="A26" s="33" t="s">
        <v>137</v>
      </c>
      <c r="B26" s="33"/>
      <c r="C26" s="33"/>
      <c r="D26" s="33"/>
      <c r="E26" s="33"/>
      <c r="F26" s="33"/>
      <c r="G26" s="33"/>
      <c r="H26" s="33"/>
      <c r="I26" s="33"/>
      <c r="J26" s="37"/>
      <c r="K26" s="37"/>
      <c r="L26" s="12"/>
      <c r="M26" s="12"/>
    </row>
    <row r="27" spans="1:13" s="7" customFormat="1" ht="30" customHeight="1">
      <c r="A27" s="33"/>
      <c r="B27" s="33"/>
      <c r="C27" s="33"/>
      <c r="D27" s="33"/>
      <c r="E27" s="33"/>
      <c r="F27" s="33"/>
      <c r="G27" s="33"/>
      <c r="H27" s="33"/>
      <c r="I27" s="33"/>
      <c r="J27" s="33"/>
      <c r="K27" s="33"/>
      <c r="L27" s="33"/>
      <c r="M27" s="33"/>
    </row>
    <row r="28" spans="1:5" s="3" customFormat="1" ht="30" customHeight="1">
      <c r="A28" s="34"/>
      <c r="B28" s="34"/>
      <c r="C28" s="34"/>
      <c r="E28" s="5"/>
    </row>
    <row r="29" spans="1:9" s="3" customFormat="1" ht="30" customHeight="1">
      <c r="A29" s="8"/>
      <c r="C29" s="10"/>
      <c r="E29" s="5"/>
      <c r="I29" s="6"/>
    </row>
    <row r="30" spans="3:9" s="3" customFormat="1" ht="30" customHeight="1">
      <c r="C30" s="10"/>
      <c r="E30" s="5"/>
      <c r="I30" s="9"/>
    </row>
    <row r="31" spans="3:5" s="3" customFormat="1" ht="30" customHeight="1">
      <c r="C31" s="10"/>
      <c r="E31" s="5"/>
    </row>
    <row r="32" spans="1:5" s="3" customFormat="1" ht="30" customHeight="1">
      <c r="A32" s="34"/>
      <c r="B32" s="34"/>
      <c r="C32" s="34"/>
      <c r="D32" s="34"/>
      <c r="E32" s="34"/>
    </row>
    <row r="33" spans="1:5" s="3" customFormat="1" ht="30" customHeight="1">
      <c r="A33" s="34"/>
      <c r="B33" s="34"/>
      <c r="C33" s="34"/>
      <c r="D33" s="34"/>
      <c r="E33" s="34"/>
    </row>
  </sheetData>
  <mergeCells count="5">
    <mergeCell ref="A32:E33"/>
    <mergeCell ref="A25:I25"/>
    <mergeCell ref="A26:K26"/>
    <mergeCell ref="A27:M27"/>
    <mergeCell ref="A28:C28"/>
  </mergeCells>
  <printOptions/>
  <pageMargins left="0.6299212598425197" right="0.35433070866141736" top="0.7480314960629921" bottom="0" header="0.31496062992125984" footer="0.1968503937007874"/>
  <pageSetup horizontalDpi="1200" verticalDpi="1200" orientation="landscape" paperSize="9" scale="8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Roman,標準"94.12.31&amp;12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2006-01-04T02:43:20Z</cp:lastPrinted>
  <dcterms:created xsi:type="dcterms:W3CDTF">1999-01-27T09:01:03Z</dcterms:created>
  <dcterms:modified xsi:type="dcterms:W3CDTF">2007-11-26T08:49:17Z</dcterms:modified>
  <cp:category>540,483,822</cp:category>
  <cp:version/>
  <cp:contentType/>
  <cp:contentStatus/>
</cp:coreProperties>
</file>