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彙總表101第1季" sheetId="1" r:id="rId1"/>
  </sheets>
  <definedNames>
    <definedName name="_xlnm.Print_Area" localSheetId="0">'彙總表101第1季'!$A$1:$M$37</definedName>
    <definedName name="_xlnm.Print_Titles" localSheetId="0">'彙總表101第1季'!$1:$1</definedName>
  </definedNames>
  <calcPr fullCalcOnLoad="1"/>
</workbook>
</file>

<file path=xl/sharedStrings.xml><?xml version="1.0" encoding="utf-8"?>
<sst xmlns="http://schemas.openxmlformats.org/spreadsheetml/2006/main" count="49" uniqueCount="48">
  <si>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</si>
  <si>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</si>
  <si>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</si>
  <si>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</si>
  <si>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</si>
  <si>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</si>
  <si>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</si>
  <si>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</si>
  <si>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</si>
  <si>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</si>
  <si>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</si>
  <si>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</si>
  <si>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</si>
  <si>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</si>
  <si>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</si>
  <si>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</si>
  <si>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</si>
  <si>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</si>
  <si>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</si>
  <si>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</si>
  <si>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</si>
  <si>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</si>
  <si>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</si>
  <si>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</si>
  <si>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</si>
  <si>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</si>
  <si>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</si>
  <si>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</si>
  <si>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</si>
  <si>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</si>
  <si>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</si>
  <si>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</si>
  <si>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</si>
  <si>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</si>
  <si>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</si>
  <si>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</si>
  <si>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</si>
  <si>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</si>
  <si>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</si>
  <si>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</si>
  <si>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</si>
  <si>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</si>
  <si>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</si>
  <si>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</si>
  <si>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</si>
  <si>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一○一年度第一季結案數</t>
  </si>
  <si>
    <t>一○一年度截至第一季為止結案數</t>
  </si>
  <si>
    <t>一○一年度截至第一季為止結案金額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</si>
</sst>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31">
    <xf numFmtId="0" fontId="0" fillId="0" borderId="0" xfId="0" applyAlignment="1">
      <alignment/>
    </xf>
    <xf numFmtId="0" fontId="5" fillId="0" borderId="0" xfId="33" applyFont="1">
      <alignment/>
      <protection/>
    </xf>
    <xf numFmtId="0" fontId="4" fillId="24" borderId="0" xfId="33" applyFont="1" applyFill="1">
      <alignment/>
      <protection/>
    </xf>
    <xf numFmtId="0" fontId="6" fillId="0" borderId="0" xfId="33" applyFont="1">
      <alignment/>
      <protection/>
    </xf>
    <xf numFmtId="0" fontId="5" fillId="0" borderId="0" xfId="33" applyFont="1" applyAlignment="1">
      <alignment vertical="center"/>
      <protection/>
    </xf>
    <xf numFmtId="0" fontId="5" fillId="0" borderId="0" xfId="33" applyFont="1" applyAlignment="1" applyProtection="1">
      <alignment/>
      <protection locked="0"/>
    </xf>
    <xf numFmtId="0" fontId="5" fillId="0" borderId="0" xfId="33" applyFont="1" applyAlignment="1">
      <alignment horizontal="center"/>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0" fontId="0" fillId="0" borderId="0" xfId="33" applyFont="1" applyAlignment="1" applyProtection="1">
      <alignment/>
      <protection locked="0"/>
    </xf>
    <xf numFmtId="0" fontId="6" fillId="0" borderId="10" xfId="33" applyFont="1" applyBorder="1" applyAlignment="1">
      <alignment horizontal="center" vertical="center"/>
      <protection/>
    </xf>
    <xf numFmtId="3" fontId="6" fillId="0" borderId="10" xfId="0" applyNumberFormat="1" applyFont="1" applyBorder="1" applyAlignment="1">
      <alignment horizontal="center" vertical="center"/>
    </xf>
    <xf numFmtId="0" fontId="4" fillId="17" borderId="10" xfId="33" applyFont="1" applyFill="1" applyBorder="1" applyAlignment="1">
      <alignment horizontal="center" vertical="center"/>
      <protection/>
    </xf>
    <xf numFmtId="0" fontId="4" fillId="17" borderId="10" xfId="33" applyFont="1" applyFill="1" applyBorder="1" applyAlignment="1" applyProtection="1">
      <alignment horizontal="center" vertical="center"/>
      <protection locked="0"/>
    </xf>
    <xf numFmtId="0" fontId="4" fillId="17" borderId="10" xfId="33" applyFont="1" applyFill="1" applyBorder="1" applyAlignment="1">
      <alignment horizontal="center" vertical="center" wrapText="1"/>
      <protection/>
    </xf>
    <xf numFmtId="0" fontId="5" fillId="0" borderId="10" xfId="33" applyFont="1" applyBorder="1" applyAlignment="1">
      <alignment horizontal="center" vertical="center" wrapText="1"/>
      <protection/>
    </xf>
    <xf numFmtId="37" fontId="6" fillId="0" borderId="10" xfId="36" applyNumberFormat="1" applyFont="1" applyBorder="1" applyAlignment="1">
      <alignment horizontal="center" vertical="center"/>
    </xf>
    <xf numFmtId="0" fontId="6" fillId="0" borderId="10" xfId="33" applyFont="1" applyBorder="1" applyAlignment="1" applyProtection="1">
      <alignment horizontal="center" vertical="center"/>
      <protection locked="0"/>
    </xf>
    <xf numFmtId="37" fontId="6" fillId="0" borderId="10" xfId="33" applyNumberFormat="1" applyFont="1" applyBorder="1" applyAlignment="1">
      <alignment horizontal="center" vertical="center"/>
      <protection/>
    </xf>
    <xf numFmtId="3" fontId="6" fillId="0" borderId="10" xfId="33" applyNumberFormat="1" applyFont="1" applyBorder="1" applyAlignment="1">
      <alignment horizontal="center" vertical="center"/>
      <protection/>
    </xf>
    <xf numFmtId="3" fontId="5" fillId="0" borderId="0" xfId="33" applyNumberFormat="1" applyFont="1">
      <alignment/>
      <protection/>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33" applyFont="1" applyAlignment="1">
      <alignment horizontal="left" indent="1"/>
      <protection/>
    </xf>
    <xf numFmtId="0" fontId="6" fillId="24" borderId="10" xfId="33" applyFont="1" applyFill="1" applyBorder="1" applyAlignment="1">
      <alignment horizontal="center" vertical="center"/>
      <protection/>
    </xf>
    <xf numFmtId="0" fontId="7" fillId="0" borderId="11" xfId="33" applyFont="1" applyBorder="1" applyAlignment="1">
      <alignment horizontal="left" wrapText="1"/>
      <protection/>
    </xf>
    <xf numFmtId="0" fontId="5" fillId="0" borderId="11" xfId="33" applyFont="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E1">
      <pane ySplit="1" topLeftCell="BM2" activePane="bottomLeft" state="frozen"/>
      <selection pane="topLeft" activeCell="A1" sqref="A1"/>
      <selection pane="bottomLeft" activeCell="I24" sqref="I24"/>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4" t="s">
        <v>11</v>
      </c>
      <c r="B1" s="14" t="s">
        <v>15</v>
      </c>
      <c r="C1" s="14" t="s">
        <v>16</v>
      </c>
      <c r="D1" s="15" t="s">
        <v>17</v>
      </c>
      <c r="E1" s="14" t="s">
        <v>18</v>
      </c>
      <c r="F1" s="15" t="s">
        <v>19</v>
      </c>
      <c r="G1" s="14" t="s">
        <v>20</v>
      </c>
      <c r="H1" s="14" t="s">
        <v>21</v>
      </c>
      <c r="I1" s="14" t="s">
        <v>22</v>
      </c>
      <c r="J1" s="16" t="s">
        <v>45</v>
      </c>
      <c r="K1" s="16" t="s">
        <v>45</v>
      </c>
      <c r="L1" s="16" t="s">
        <v>46</v>
      </c>
      <c r="M1" s="16" t="s">
        <v>47</v>
      </c>
    </row>
    <row r="2" spans="1:13" s="1" customFormat="1" ht="24.75" customHeight="1">
      <c r="A2" s="17" t="s">
        <v>0</v>
      </c>
      <c r="B2" s="12">
        <v>84</v>
      </c>
      <c r="C2" s="18">
        <v>80270024</v>
      </c>
      <c r="D2" s="19">
        <v>84</v>
      </c>
      <c r="E2" s="20">
        <v>77717537</v>
      </c>
      <c r="F2" s="12">
        <v>0</v>
      </c>
      <c r="G2" s="12">
        <v>0</v>
      </c>
      <c r="H2" s="12">
        <v>0</v>
      </c>
      <c r="I2" s="12">
        <v>0</v>
      </c>
      <c r="J2" s="12">
        <v>0</v>
      </c>
      <c r="K2" s="12">
        <v>0</v>
      </c>
      <c r="L2" s="12">
        <v>0</v>
      </c>
      <c r="M2" s="12">
        <v>0</v>
      </c>
    </row>
    <row r="3" spans="1:13" s="1" customFormat="1" ht="24.75" customHeight="1">
      <c r="A3" s="17" t="s">
        <v>1</v>
      </c>
      <c r="B3" s="12">
        <v>57</v>
      </c>
      <c r="C3" s="18">
        <v>20495283</v>
      </c>
      <c r="D3" s="19">
        <v>57</v>
      </c>
      <c r="E3" s="20">
        <v>18659741</v>
      </c>
      <c r="F3" s="19">
        <v>0</v>
      </c>
      <c r="G3" s="12">
        <v>0</v>
      </c>
      <c r="H3" s="12">
        <v>0</v>
      </c>
      <c r="I3" s="12">
        <v>0</v>
      </c>
      <c r="J3" s="12">
        <v>0</v>
      </c>
      <c r="K3" s="12">
        <v>0</v>
      </c>
      <c r="L3" s="12">
        <v>0</v>
      </c>
      <c r="M3" s="12">
        <v>0</v>
      </c>
    </row>
    <row r="4" spans="1:13" s="1" customFormat="1" ht="24.75" customHeight="1">
      <c r="A4" s="17" t="s">
        <v>2</v>
      </c>
      <c r="B4" s="12">
        <v>129</v>
      </c>
      <c r="C4" s="18">
        <v>63325559</v>
      </c>
      <c r="D4" s="19">
        <v>129</v>
      </c>
      <c r="E4" s="20">
        <v>54518849</v>
      </c>
      <c r="F4" s="19">
        <v>0</v>
      </c>
      <c r="G4" s="12">
        <v>0</v>
      </c>
      <c r="H4" s="12">
        <v>0</v>
      </c>
      <c r="I4" s="12">
        <v>0</v>
      </c>
      <c r="J4" s="12">
        <v>0</v>
      </c>
      <c r="K4" s="12">
        <v>0</v>
      </c>
      <c r="L4" s="12">
        <v>0</v>
      </c>
      <c r="M4" s="12">
        <v>0</v>
      </c>
    </row>
    <row r="5" spans="1:13" s="1" customFormat="1" ht="24.75" customHeight="1">
      <c r="A5" s="17" t="s">
        <v>3</v>
      </c>
      <c r="B5" s="12">
        <v>117</v>
      </c>
      <c r="C5" s="18">
        <v>107710560</v>
      </c>
      <c r="D5" s="19">
        <v>117</v>
      </c>
      <c r="E5" s="20">
        <f>64161343+44111999</f>
        <v>108273342</v>
      </c>
      <c r="F5" s="19">
        <v>0</v>
      </c>
      <c r="G5" s="12">
        <v>0</v>
      </c>
      <c r="H5" s="12">
        <v>0</v>
      </c>
      <c r="I5" s="12">
        <v>0</v>
      </c>
      <c r="J5" s="12">
        <v>0</v>
      </c>
      <c r="K5" s="12">
        <v>0</v>
      </c>
      <c r="L5" s="12">
        <v>0</v>
      </c>
      <c r="M5" s="12">
        <v>0</v>
      </c>
    </row>
    <row r="6" spans="1:13" s="1" customFormat="1" ht="24.75" customHeight="1">
      <c r="A6" s="17" t="s">
        <v>4</v>
      </c>
      <c r="B6" s="12">
        <v>98</v>
      </c>
      <c r="C6" s="18">
        <v>64898557</v>
      </c>
      <c r="D6" s="19">
        <v>98</v>
      </c>
      <c r="E6" s="18">
        <f>32412071+12619030</f>
        <v>45031101</v>
      </c>
      <c r="F6" s="19">
        <v>0</v>
      </c>
      <c r="G6" s="12">
        <v>0</v>
      </c>
      <c r="H6" s="12">
        <v>0</v>
      </c>
      <c r="I6" s="12">
        <v>0</v>
      </c>
      <c r="J6" s="12">
        <v>0</v>
      </c>
      <c r="K6" s="21">
        <v>0</v>
      </c>
      <c r="L6" s="12">
        <v>0</v>
      </c>
      <c r="M6" s="21">
        <v>0</v>
      </c>
    </row>
    <row r="7" spans="1:13" s="1" customFormat="1" ht="24.75" customHeight="1">
      <c r="A7" s="17" t="s">
        <v>6</v>
      </c>
      <c r="B7" s="12">
        <f>82+146</f>
        <v>228</v>
      </c>
      <c r="C7" s="20">
        <f>15015016+103561456</f>
        <v>118576472</v>
      </c>
      <c r="D7" s="19">
        <f>82+146</f>
        <v>228</v>
      </c>
      <c r="E7" s="20">
        <f>15247523+67831420+138551+12467556</f>
        <v>95685050</v>
      </c>
      <c r="F7" s="19">
        <v>0</v>
      </c>
      <c r="G7" s="12">
        <v>0</v>
      </c>
      <c r="H7" s="12">
        <v>0</v>
      </c>
      <c r="I7" s="12">
        <v>0</v>
      </c>
      <c r="J7" s="12">
        <v>0</v>
      </c>
      <c r="K7" s="21">
        <v>0</v>
      </c>
      <c r="L7" s="12">
        <v>0</v>
      </c>
      <c r="M7" s="21">
        <v>0</v>
      </c>
    </row>
    <row r="8" spans="1:13" s="1" customFormat="1" ht="24.75" customHeight="1">
      <c r="A8" s="17" t="s">
        <v>7</v>
      </c>
      <c r="B8" s="12">
        <f>78+114</f>
        <v>192</v>
      </c>
      <c r="C8" s="20">
        <f>14633964+132492800</f>
        <v>147126764</v>
      </c>
      <c r="D8" s="19">
        <f>78+112</f>
        <v>190</v>
      </c>
      <c r="E8" s="20">
        <f>15447671+40035876+73117+17840142</f>
        <v>73396806</v>
      </c>
      <c r="F8" s="19">
        <v>2</v>
      </c>
      <c r="G8" s="12">
        <v>0</v>
      </c>
      <c r="H8" s="12">
        <v>2</v>
      </c>
      <c r="I8" s="12">
        <v>0</v>
      </c>
      <c r="J8" s="12">
        <v>0</v>
      </c>
      <c r="K8" s="12">
        <v>0</v>
      </c>
      <c r="L8" s="12">
        <v>0</v>
      </c>
      <c r="M8" s="12">
        <v>0</v>
      </c>
    </row>
    <row r="9" spans="1:13" s="1" customFormat="1" ht="24.75" customHeight="1">
      <c r="A9" s="17" t="s">
        <v>8</v>
      </c>
      <c r="B9" s="12">
        <f>72+104</f>
        <v>176</v>
      </c>
      <c r="C9" s="20">
        <f>57658098+769163861</f>
        <v>826821959</v>
      </c>
      <c r="D9" s="19">
        <f>72+101</f>
        <v>173</v>
      </c>
      <c r="E9" s="20">
        <f>30220073+38490724+3248960</f>
        <v>71959757</v>
      </c>
      <c r="F9" s="19">
        <v>3</v>
      </c>
      <c r="G9" s="12">
        <v>0</v>
      </c>
      <c r="H9" s="12">
        <v>3</v>
      </c>
      <c r="I9" s="12">
        <v>0</v>
      </c>
      <c r="J9" s="12">
        <v>0</v>
      </c>
      <c r="K9" s="12">
        <v>0</v>
      </c>
      <c r="L9" s="12">
        <v>0</v>
      </c>
      <c r="M9" s="12">
        <v>0</v>
      </c>
    </row>
    <row r="10" spans="1:13" s="1" customFormat="1" ht="24.75" customHeight="1">
      <c r="A10" s="17" t="s">
        <v>9</v>
      </c>
      <c r="B10" s="12">
        <f>84+93</f>
        <v>177</v>
      </c>
      <c r="C10" s="20">
        <f>13142131+146152106</f>
        <v>159294237</v>
      </c>
      <c r="D10" s="19">
        <f>84+90</f>
        <v>174</v>
      </c>
      <c r="E10" s="20">
        <f>13138335+26186486+12039</f>
        <v>39336860</v>
      </c>
      <c r="F10" s="19">
        <v>3</v>
      </c>
      <c r="G10" s="12">
        <v>0</v>
      </c>
      <c r="H10" s="12">
        <v>3</v>
      </c>
      <c r="I10" s="12">
        <v>0</v>
      </c>
      <c r="J10" s="12">
        <v>0</v>
      </c>
      <c r="K10" s="12">
        <v>0</v>
      </c>
      <c r="L10" s="12">
        <v>0</v>
      </c>
      <c r="M10" s="12">
        <v>0</v>
      </c>
    </row>
    <row r="11" spans="1:13" s="1" customFormat="1" ht="24.75" customHeight="1">
      <c r="A11" s="17" t="s">
        <v>10</v>
      </c>
      <c r="B11" s="12">
        <f>102+103</f>
        <v>205</v>
      </c>
      <c r="C11" s="20">
        <f>26329161+90681262</f>
        <v>117010423</v>
      </c>
      <c r="D11" s="12">
        <f>102+103</f>
        <v>205</v>
      </c>
      <c r="E11" s="21">
        <f>14523476+86948821+11804153+3715161</f>
        <v>116991611</v>
      </c>
      <c r="F11" s="12">
        <v>0</v>
      </c>
      <c r="G11" s="12">
        <v>0</v>
      </c>
      <c r="H11" s="12">
        <v>0</v>
      </c>
      <c r="I11" s="12">
        <v>0</v>
      </c>
      <c r="J11" s="12">
        <v>0</v>
      </c>
      <c r="K11" s="12">
        <v>0</v>
      </c>
      <c r="L11" s="12">
        <v>0</v>
      </c>
      <c r="M11" s="12">
        <v>0</v>
      </c>
    </row>
    <row r="12" spans="1:13" s="1" customFormat="1" ht="24.75" customHeight="1">
      <c r="A12" s="17" t="s">
        <v>12</v>
      </c>
      <c r="B12" s="12">
        <f>102+109</f>
        <v>211</v>
      </c>
      <c r="C12" s="20">
        <f>25992585+81658193</f>
        <v>107650778</v>
      </c>
      <c r="D12" s="12">
        <f>102+109</f>
        <v>211</v>
      </c>
      <c r="E12" s="21">
        <f>25969480+45499649+23105+397521</f>
        <v>71889755</v>
      </c>
      <c r="F12" s="12">
        <v>0</v>
      </c>
      <c r="G12" s="12">
        <v>0</v>
      </c>
      <c r="H12" s="12">
        <v>0</v>
      </c>
      <c r="I12" s="12">
        <v>0</v>
      </c>
      <c r="J12" s="12">
        <v>0</v>
      </c>
      <c r="K12" s="21">
        <v>0</v>
      </c>
      <c r="L12" s="12">
        <v>0</v>
      </c>
      <c r="M12" s="21">
        <v>0</v>
      </c>
    </row>
    <row r="13" spans="1:13" s="1" customFormat="1" ht="24.75" customHeight="1">
      <c r="A13" s="17" t="s">
        <v>13</v>
      </c>
      <c r="B13" s="12">
        <f>127+118</f>
        <v>245</v>
      </c>
      <c r="C13" s="20">
        <f>73315155+56823456</f>
        <v>130138611</v>
      </c>
      <c r="D13" s="12">
        <f>127+118</f>
        <v>245</v>
      </c>
      <c r="E13" s="21">
        <f>73085130+24577807+230025+319155</f>
        <v>98212117</v>
      </c>
      <c r="F13" s="12">
        <v>0</v>
      </c>
      <c r="G13" s="12">
        <v>0</v>
      </c>
      <c r="H13" s="12">
        <v>0</v>
      </c>
      <c r="I13" s="12">
        <v>0</v>
      </c>
      <c r="J13" s="12">
        <v>0</v>
      </c>
      <c r="K13" s="21">
        <v>0</v>
      </c>
      <c r="L13" s="12">
        <v>0</v>
      </c>
      <c r="M13" s="21">
        <v>0</v>
      </c>
    </row>
    <row r="14" spans="1:13" s="1" customFormat="1" ht="24.75" customHeight="1">
      <c r="A14" s="17" t="s">
        <v>14</v>
      </c>
      <c r="B14" s="12">
        <f>108+88</f>
        <v>196</v>
      </c>
      <c r="C14" s="20">
        <f>75738345+27500010</f>
        <v>103238355</v>
      </c>
      <c r="D14" s="12">
        <f>108+86</f>
        <v>194</v>
      </c>
      <c r="E14" s="21">
        <f>70691250+15940775+6941+344495</f>
        <v>86983461</v>
      </c>
      <c r="F14" s="12">
        <v>2</v>
      </c>
      <c r="G14" s="12">
        <v>2</v>
      </c>
      <c r="H14" s="12">
        <v>0</v>
      </c>
      <c r="I14" s="12">
        <v>0</v>
      </c>
      <c r="J14" s="12">
        <v>0</v>
      </c>
      <c r="K14" s="13">
        <v>0</v>
      </c>
      <c r="L14" s="12">
        <v>0</v>
      </c>
      <c r="M14" s="13">
        <v>0</v>
      </c>
    </row>
    <row r="15" spans="1:13" s="1" customFormat="1" ht="24.75" customHeight="1">
      <c r="A15" s="17" t="s">
        <v>23</v>
      </c>
      <c r="B15" s="12">
        <f>90+84</f>
        <v>174</v>
      </c>
      <c r="C15" s="20">
        <f>19925901+11480427</f>
        <v>31406328</v>
      </c>
      <c r="D15" s="12">
        <f>90+84</f>
        <v>174</v>
      </c>
      <c r="E15" s="21">
        <f>19916246+8726032+1033760</f>
        <v>29676038</v>
      </c>
      <c r="F15" s="12">
        <v>0</v>
      </c>
      <c r="G15" s="12">
        <v>0</v>
      </c>
      <c r="H15" s="12">
        <v>0</v>
      </c>
      <c r="I15" s="12">
        <v>0</v>
      </c>
      <c r="J15" s="12">
        <v>0</v>
      </c>
      <c r="K15" s="13">
        <v>0</v>
      </c>
      <c r="L15" s="12">
        <v>0</v>
      </c>
      <c r="M15" s="13">
        <v>0</v>
      </c>
    </row>
    <row r="16" spans="1:13" s="1" customFormat="1" ht="24.75" customHeight="1">
      <c r="A16" s="17" t="s">
        <v>24</v>
      </c>
      <c r="B16" s="12">
        <f>75+72</f>
        <v>147</v>
      </c>
      <c r="C16" s="20">
        <f>16590630+35978023</f>
        <v>52568653</v>
      </c>
      <c r="D16" s="12">
        <f>75+72</f>
        <v>147</v>
      </c>
      <c r="E16" s="21">
        <f>16590630+34557533+1388617</f>
        <v>52536780</v>
      </c>
      <c r="F16" s="12">
        <v>0</v>
      </c>
      <c r="G16" s="12">
        <v>0</v>
      </c>
      <c r="H16" s="12">
        <v>0</v>
      </c>
      <c r="I16" s="12">
        <v>0</v>
      </c>
      <c r="J16" s="12">
        <v>0</v>
      </c>
      <c r="K16" s="13">
        <v>0</v>
      </c>
      <c r="L16" s="12">
        <v>0</v>
      </c>
      <c r="M16" s="13">
        <v>0</v>
      </c>
    </row>
    <row r="17" spans="1:14" s="1" customFormat="1" ht="24.75" customHeight="1">
      <c r="A17" s="17" t="s">
        <v>25</v>
      </c>
      <c r="B17" s="12">
        <f>108+91</f>
        <v>199</v>
      </c>
      <c r="C17" s="20">
        <f>29635559+53978544</f>
        <v>83614103</v>
      </c>
      <c r="D17" s="12">
        <f>108+91</f>
        <v>199</v>
      </c>
      <c r="E17" s="21">
        <f>29635559+40313963+12275066</f>
        <v>82224588</v>
      </c>
      <c r="F17" s="12">
        <v>0</v>
      </c>
      <c r="G17" s="12">
        <v>0</v>
      </c>
      <c r="H17" s="12">
        <v>0</v>
      </c>
      <c r="I17" s="12">
        <v>0</v>
      </c>
      <c r="J17" s="12">
        <v>0</v>
      </c>
      <c r="K17" s="13">
        <v>0</v>
      </c>
      <c r="L17" s="12">
        <v>0</v>
      </c>
      <c r="M17" s="13">
        <v>0</v>
      </c>
      <c r="N17" s="22"/>
    </row>
    <row r="18" spans="1:14" s="1" customFormat="1" ht="24.75" customHeight="1">
      <c r="A18" s="17" t="s">
        <v>26</v>
      </c>
      <c r="B18" s="12">
        <f>67+85</f>
        <v>152</v>
      </c>
      <c r="C18" s="20">
        <f>8939716+13899877</f>
        <v>22839593</v>
      </c>
      <c r="D18" s="12">
        <f>67+85</f>
        <v>152</v>
      </c>
      <c r="E18" s="21">
        <f>7975546+12520375+964170+1379502</f>
        <v>22839593</v>
      </c>
      <c r="F18" s="12">
        <v>0</v>
      </c>
      <c r="G18" s="12">
        <v>0</v>
      </c>
      <c r="H18" s="12">
        <v>0</v>
      </c>
      <c r="I18" s="12">
        <v>0</v>
      </c>
      <c r="J18" s="12">
        <v>0</v>
      </c>
      <c r="K18" s="13">
        <v>0</v>
      </c>
      <c r="L18" s="12">
        <v>0</v>
      </c>
      <c r="M18" s="13">
        <v>0</v>
      </c>
      <c r="N18" s="22"/>
    </row>
    <row r="19" spans="1:14" s="1" customFormat="1" ht="24.75" customHeight="1">
      <c r="A19" s="17" t="s">
        <v>27</v>
      </c>
      <c r="B19" s="12">
        <f>90+84</f>
        <v>174</v>
      </c>
      <c r="C19" s="20">
        <f>6247454+7071247</f>
        <v>13318701</v>
      </c>
      <c r="D19" s="12">
        <f>90+84</f>
        <v>174</v>
      </c>
      <c r="E19" s="21">
        <f>5013022+4966330+1234432+2104917</f>
        <v>13318701</v>
      </c>
      <c r="F19" s="12">
        <v>0</v>
      </c>
      <c r="G19" s="12">
        <v>0</v>
      </c>
      <c r="H19" s="12">
        <v>0</v>
      </c>
      <c r="I19" s="12">
        <v>0</v>
      </c>
      <c r="J19" s="12">
        <v>0</v>
      </c>
      <c r="K19" s="13">
        <v>0</v>
      </c>
      <c r="L19" s="12">
        <v>0</v>
      </c>
      <c r="M19" s="13">
        <v>0</v>
      </c>
      <c r="N19" s="22"/>
    </row>
    <row r="20" spans="1:14" s="1" customFormat="1" ht="24.75" customHeight="1">
      <c r="A20" s="17" t="s">
        <v>28</v>
      </c>
      <c r="B20" s="12">
        <f>148+180</f>
        <v>328</v>
      </c>
      <c r="C20" s="20">
        <f>19692294+18463431</f>
        <v>38155725</v>
      </c>
      <c r="D20" s="12">
        <f>148+180</f>
        <v>328</v>
      </c>
      <c r="E20" s="21">
        <f>12523755+7168539+8680195+9344475</f>
        <v>37716964</v>
      </c>
      <c r="F20" s="12">
        <v>0</v>
      </c>
      <c r="G20" s="12">
        <v>0</v>
      </c>
      <c r="H20" s="12">
        <v>0</v>
      </c>
      <c r="I20" s="12">
        <f>0+0</f>
        <v>0</v>
      </c>
      <c r="J20" s="12">
        <f>328-328</f>
        <v>0</v>
      </c>
      <c r="K20" s="13">
        <f>37716964-37716964</f>
        <v>0</v>
      </c>
      <c r="L20" s="12">
        <f>0</f>
        <v>0</v>
      </c>
      <c r="M20" s="13">
        <f>0</f>
        <v>0</v>
      </c>
      <c r="N20" s="22"/>
    </row>
    <row r="21" spans="1:14" s="1" customFormat="1" ht="24.75" customHeight="1">
      <c r="A21" s="17" t="s">
        <v>29</v>
      </c>
      <c r="B21" s="12">
        <f>182+236</f>
        <v>418</v>
      </c>
      <c r="C21" s="20">
        <f>24015675+27193317</f>
        <v>51208992</v>
      </c>
      <c r="D21" s="12">
        <f>182+236</f>
        <v>418</v>
      </c>
      <c r="E21" s="21">
        <f>23293704+712781+24466949+2011493</f>
        <v>50484927</v>
      </c>
      <c r="F21" s="12">
        <v>0</v>
      </c>
      <c r="G21" s="12">
        <v>0</v>
      </c>
      <c r="H21" s="12">
        <v>0</v>
      </c>
      <c r="I21" s="12">
        <f>0+0</f>
        <v>0</v>
      </c>
      <c r="J21" s="12">
        <v>0</v>
      </c>
      <c r="K21" s="13">
        <v>0</v>
      </c>
      <c r="L21" s="12">
        <v>0</v>
      </c>
      <c r="M21" s="13">
        <v>0</v>
      </c>
      <c r="N21" s="22"/>
    </row>
    <row r="22" spans="1:14" s="1" customFormat="1" ht="24.75" customHeight="1">
      <c r="A22" s="17" t="s">
        <v>30</v>
      </c>
      <c r="B22" s="12">
        <f>81+136</f>
        <v>217</v>
      </c>
      <c r="C22" s="20">
        <f>15962400+20326468</f>
        <v>36288868</v>
      </c>
      <c r="D22" s="12">
        <f>80+134</f>
        <v>214</v>
      </c>
      <c r="E22" s="21">
        <f>15487313+286013+10528978+3755580</f>
        <v>30057884</v>
      </c>
      <c r="F22" s="12">
        <f>1+2</f>
        <v>3</v>
      </c>
      <c r="G22" s="12">
        <v>0</v>
      </c>
      <c r="H22" s="12">
        <f>1+2</f>
        <v>3</v>
      </c>
      <c r="I22" s="12">
        <v>0</v>
      </c>
      <c r="J22" s="12">
        <f>241-241</f>
        <v>0</v>
      </c>
      <c r="K22" s="13">
        <f>30057884-30057884</f>
        <v>0</v>
      </c>
      <c r="L22" s="12">
        <f>0</f>
        <v>0</v>
      </c>
      <c r="M22" s="13">
        <f>0</f>
        <v>0</v>
      </c>
      <c r="N22" s="22"/>
    </row>
    <row r="23" spans="1:14" s="1" customFormat="1" ht="24.75" customHeight="1">
      <c r="A23" s="17" t="s">
        <v>31</v>
      </c>
      <c r="B23" s="12">
        <f>79+96</f>
        <v>175</v>
      </c>
      <c r="C23" s="20">
        <f>6052498+16708966</f>
        <v>22761464</v>
      </c>
      <c r="D23" s="12">
        <f>79+96</f>
        <v>175</v>
      </c>
      <c r="E23" s="21">
        <f>5804720+247778+2816125+13892841</f>
        <v>22761464</v>
      </c>
      <c r="F23" s="12">
        <v>0</v>
      </c>
      <c r="G23" s="12">
        <v>0</v>
      </c>
      <c r="H23" s="12">
        <v>0</v>
      </c>
      <c r="I23" s="12">
        <v>0</v>
      </c>
      <c r="J23" s="12">
        <f>175-175</f>
        <v>0</v>
      </c>
      <c r="K23" s="13">
        <f>22761464-22761464</f>
        <v>0</v>
      </c>
      <c r="L23" s="12">
        <f>0</f>
        <v>0</v>
      </c>
      <c r="M23" s="13">
        <f>0</f>
        <v>0</v>
      </c>
      <c r="N23" s="22"/>
    </row>
    <row r="24" spans="1:14" s="1" customFormat="1" ht="24.75" customHeight="1">
      <c r="A24" s="17" t="s">
        <v>32</v>
      </c>
      <c r="B24" s="12">
        <f>111+74</f>
        <v>185</v>
      </c>
      <c r="C24" s="20">
        <f>13311687+21299960</f>
        <v>34611647</v>
      </c>
      <c r="D24" s="12">
        <f>111+74</f>
        <v>185</v>
      </c>
      <c r="E24" s="21">
        <f>11662608+1649079+20606560+693400</f>
        <v>34611647</v>
      </c>
      <c r="F24" s="12">
        <v>0</v>
      </c>
      <c r="G24" s="12">
        <v>0</v>
      </c>
      <c r="H24" s="12">
        <v>0</v>
      </c>
      <c r="I24" s="12">
        <v>0</v>
      </c>
      <c r="J24" s="21">
        <f>185-185</f>
        <v>0</v>
      </c>
      <c r="K24" s="13">
        <f>34611647-34611647</f>
        <v>0</v>
      </c>
      <c r="L24" s="12">
        <f>0</f>
        <v>0</v>
      </c>
      <c r="M24" s="13">
        <f>0</f>
        <v>0</v>
      </c>
      <c r="N24" s="22"/>
    </row>
    <row r="25" spans="1:14" s="1" customFormat="1" ht="24.75" customHeight="1">
      <c r="A25" s="17" t="s">
        <v>33</v>
      </c>
      <c r="B25" s="12">
        <f>87+59</f>
        <v>146</v>
      </c>
      <c r="C25" s="20">
        <f>11913301+40111831</f>
        <v>52025132</v>
      </c>
      <c r="D25" s="12">
        <f>87+59</f>
        <v>146</v>
      </c>
      <c r="E25" s="21">
        <f>11280621+632680+31329348+8782483</f>
        <v>52025132</v>
      </c>
      <c r="F25" s="12">
        <v>0</v>
      </c>
      <c r="G25" s="12">
        <v>0</v>
      </c>
      <c r="H25" s="12">
        <v>0</v>
      </c>
      <c r="I25" s="12">
        <v>0</v>
      </c>
      <c r="J25" s="12">
        <f>146-146</f>
        <v>0</v>
      </c>
      <c r="K25" s="13">
        <f>52025132-52025132</f>
        <v>0</v>
      </c>
      <c r="L25" s="12">
        <f>0</f>
        <v>0</v>
      </c>
      <c r="M25" s="13">
        <f>0</f>
        <v>0</v>
      </c>
      <c r="N25" s="22"/>
    </row>
    <row r="26" spans="1:14" s="1" customFormat="1" ht="24.75" customHeight="1">
      <c r="A26" s="17" t="s">
        <v>35</v>
      </c>
      <c r="B26" s="12">
        <f>117+62</f>
        <v>179</v>
      </c>
      <c r="C26" s="20">
        <f>19410331+116523797</f>
        <v>135934128</v>
      </c>
      <c r="D26" s="12">
        <f>116+61</f>
        <v>177</v>
      </c>
      <c r="E26" s="21">
        <f>11928031+4067647+110623476+5898586</f>
        <v>132517740</v>
      </c>
      <c r="F26" s="12">
        <f>1+1</f>
        <v>2</v>
      </c>
      <c r="G26" s="12">
        <f>0+1</f>
        <v>1</v>
      </c>
      <c r="H26" s="12">
        <f>1+0</f>
        <v>1</v>
      </c>
      <c r="I26" s="12">
        <f>0+0</f>
        <v>0</v>
      </c>
      <c r="J26" s="12">
        <f>177-177</f>
        <v>0</v>
      </c>
      <c r="K26" s="13">
        <f>132517740-132517740</f>
        <v>0</v>
      </c>
      <c r="L26" s="12">
        <f>0</f>
        <v>0</v>
      </c>
      <c r="M26" s="13">
        <f>0</f>
        <v>0</v>
      </c>
      <c r="N26" s="22"/>
    </row>
    <row r="27" spans="1:14" s="1" customFormat="1" ht="26.25" customHeight="1">
      <c r="A27" s="17" t="s">
        <v>36</v>
      </c>
      <c r="B27" s="12">
        <f>149+59</f>
        <v>208</v>
      </c>
      <c r="C27" s="20">
        <f>34262121+26855950</f>
        <v>61118071</v>
      </c>
      <c r="D27" s="12">
        <f>148+59</f>
        <v>207</v>
      </c>
      <c r="E27" s="21">
        <f>31599905+2623344+15284299+11571651</f>
        <v>61079199</v>
      </c>
      <c r="F27" s="12">
        <f>1+0</f>
        <v>1</v>
      </c>
      <c r="G27" s="12">
        <f>0+0</f>
        <v>0</v>
      </c>
      <c r="H27" s="12">
        <v>1</v>
      </c>
      <c r="I27" s="12">
        <v>0</v>
      </c>
      <c r="J27" s="12">
        <f>207-207</f>
        <v>0</v>
      </c>
      <c r="K27" s="23">
        <f>61079199-61079199</f>
        <v>0</v>
      </c>
      <c r="L27" s="12">
        <f>0</f>
        <v>0</v>
      </c>
      <c r="M27" s="23">
        <f>0</f>
        <v>0</v>
      </c>
      <c r="N27" s="22"/>
    </row>
    <row r="28" spans="1:14" s="1" customFormat="1" ht="24.75" customHeight="1">
      <c r="A28" s="17" t="s">
        <v>37</v>
      </c>
      <c r="B28" s="12">
        <f>148+35</f>
        <v>183</v>
      </c>
      <c r="C28" s="20">
        <f>36280294+11837747</f>
        <v>48118041</v>
      </c>
      <c r="D28" s="12">
        <f>148+34</f>
        <v>182</v>
      </c>
      <c r="E28" s="21">
        <f>32130283+3118093+1895814+9319167</f>
        <v>46463357</v>
      </c>
      <c r="F28" s="12">
        <f>0+1</f>
        <v>1</v>
      </c>
      <c r="G28" s="12">
        <f>0+0</f>
        <v>0</v>
      </c>
      <c r="H28" s="12">
        <f>0+1</f>
        <v>1</v>
      </c>
      <c r="I28" s="12">
        <f>0+0</f>
        <v>0</v>
      </c>
      <c r="J28" s="12">
        <f>182-182</f>
        <v>0</v>
      </c>
      <c r="K28" s="13">
        <f>46463357-46463357</f>
        <v>0</v>
      </c>
      <c r="L28" s="12">
        <f>0</f>
        <v>0</v>
      </c>
      <c r="M28" s="13">
        <f>0</f>
        <v>0</v>
      </c>
      <c r="N28" s="22"/>
    </row>
    <row r="29" spans="1:14" s="1" customFormat="1" ht="24.75" customHeight="1">
      <c r="A29" s="17" t="s">
        <v>38</v>
      </c>
      <c r="B29" s="12">
        <f>68+126</f>
        <v>194</v>
      </c>
      <c r="C29" s="20">
        <f>27893287+20347237</f>
        <v>48240524</v>
      </c>
      <c r="D29" s="12">
        <f>68+125</f>
        <v>193</v>
      </c>
      <c r="E29" s="21">
        <f>7209214+20684073+15525978+4813904</f>
        <v>48233169</v>
      </c>
      <c r="F29" s="12">
        <f>0+1</f>
        <v>1</v>
      </c>
      <c r="G29" s="12">
        <f>0+0</f>
        <v>0</v>
      </c>
      <c r="H29" s="12">
        <f>0+1</f>
        <v>1</v>
      </c>
      <c r="I29" s="12">
        <v>0</v>
      </c>
      <c r="J29" s="12">
        <f>193-193</f>
        <v>0</v>
      </c>
      <c r="K29" s="13">
        <f>48233169-48233169</f>
        <v>0</v>
      </c>
      <c r="L29" s="12">
        <f>0</f>
        <v>0</v>
      </c>
      <c r="M29" s="13">
        <f>0</f>
        <v>0</v>
      </c>
      <c r="N29" s="22"/>
    </row>
    <row r="30" spans="1:14" s="1" customFormat="1" ht="24.75" customHeight="1">
      <c r="A30" s="17" t="s">
        <v>39</v>
      </c>
      <c r="B30" s="12">
        <f>43+101</f>
        <v>144</v>
      </c>
      <c r="C30" s="20">
        <f>12638457+25841896</f>
        <v>38480353</v>
      </c>
      <c r="D30" s="12">
        <f>43+100</f>
        <v>143</v>
      </c>
      <c r="E30" s="21">
        <f>11128109+398622+23939122+1290517</f>
        <v>36756370</v>
      </c>
      <c r="F30" s="12">
        <f>0+1</f>
        <v>1</v>
      </c>
      <c r="G30" s="12">
        <v>0</v>
      </c>
      <c r="H30" s="12">
        <f>0+1</f>
        <v>1</v>
      </c>
      <c r="I30" s="12">
        <f>0+0</f>
        <v>0</v>
      </c>
      <c r="J30" s="12">
        <f>143-142</f>
        <v>1</v>
      </c>
      <c r="K30" s="13">
        <f>36756370-36756370</f>
        <v>0</v>
      </c>
      <c r="L30" s="12">
        <f>1</f>
        <v>1</v>
      </c>
      <c r="M30" s="13">
        <f>0</f>
        <v>0</v>
      </c>
      <c r="N30" s="22"/>
    </row>
    <row r="31" spans="1:14" s="1" customFormat="1" ht="24.75" customHeight="1">
      <c r="A31" s="17" t="s">
        <v>40</v>
      </c>
      <c r="B31" s="12">
        <f>57+94</f>
        <v>151</v>
      </c>
      <c r="C31" s="20">
        <f>19043068+8537193</f>
        <v>27580261</v>
      </c>
      <c r="D31" s="12">
        <f>57+93</f>
        <v>150</v>
      </c>
      <c r="E31" s="21">
        <f>19043068+8503097+19307</f>
        <v>27565472</v>
      </c>
      <c r="F31" s="12">
        <f>0+1</f>
        <v>1</v>
      </c>
      <c r="G31" s="12">
        <f>0+0</f>
        <v>0</v>
      </c>
      <c r="H31" s="12">
        <f>0+1</f>
        <v>1</v>
      </c>
      <c r="I31" s="12">
        <v>0</v>
      </c>
      <c r="J31" s="12">
        <f>150-150</f>
        <v>0</v>
      </c>
      <c r="K31" s="13">
        <f>27565472-27565472</f>
        <v>0</v>
      </c>
      <c r="L31" s="12">
        <f>0</f>
        <v>0</v>
      </c>
      <c r="M31" s="13">
        <f>0</f>
        <v>0</v>
      </c>
      <c r="N31" s="22"/>
    </row>
    <row r="32" spans="1:14" s="1" customFormat="1" ht="24.75" customHeight="1">
      <c r="A32" s="17" t="s">
        <v>41</v>
      </c>
      <c r="B32" s="12">
        <f>60+102</f>
        <v>162</v>
      </c>
      <c r="C32" s="20">
        <f>20307667+54265635</f>
        <v>74573302</v>
      </c>
      <c r="D32" s="12">
        <f>60+102</f>
        <v>162</v>
      </c>
      <c r="E32" s="21">
        <f>20307342+325+32288085+21977550</f>
        <v>74573302</v>
      </c>
      <c r="F32" s="12">
        <v>0</v>
      </c>
      <c r="G32" s="12">
        <v>0</v>
      </c>
      <c r="H32" s="12">
        <v>0</v>
      </c>
      <c r="I32" s="12">
        <v>0</v>
      </c>
      <c r="J32" s="12">
        <f>162-162</f>
        <v>0</v>
      </c>
      <c r="K32" s="13">
        <f>74573302-74573302</f>
        <v>0</v>
      </c>
      <c r="L32" s="12">
        <f>0</f>
        <v>0</v>
      </c>
      <c r="M32" s="13">
        <f>0</f>
        <v>0</v>
      </c>
      <c r="N32" s="22"/>
    </row>
    <row r="33" spans="1:14" s="1" customFormat="1" ht="24.75" customHeight="1">
      <c r="A33" s="17" t="s">
        <v>42</v>
      </c>
      <c r="B33" s="12">
        <f>69+95</f>
        <v>164</v>
      </c>
      <c r="C33" s="20">
        <f>7480149+59035291</f>
        <v>66515440</v>
      </c>
      <c r="D33" s="12">
        <f>69+95</f>
        <v>164</v>
      </c>
      <c r="E33" s="21">
        <f>7470490+9659+57070684+1964607</f>
        <v>66515440</v>
      </c>
      <c r="F33" s="12">
        <v>0</v>
      </c>
      <c r="G33" s="12">
        <v>0</v>
      </c>
      <c r="H33" s="12">
        <f>0+0</f>
        <v>0</v>
      </c>
      <c r="I33" s="26">
        <f>0+0</f>
        <v>0</v>
      </c>
      <c r="J33" s="12">
        <f>164-164</f>
        <v>0</v>
      </c>
      <c r="K33" s="13">
        <f>66515440-66515440</f>
        <v>0</v>
      </c>
      <c r="L33" s="12">
        <f>0</f>
        <v>0</v>
      </c>
      <c r="M33" s="13">
        <f>0</f>
        <v>0</v>
      </c>
      <c r="N33" s="22"/>
    </row>
    <row r="34" spans="1:14" s="1" customFormat="1" ht="24.75" customHeight="1">
      <c r="A34" s="17" t="s">
        <v>43</v>
      </c>
      <c r="B34" s="12">
        <f>57+97</f>
        <v>154</v>
      </c>
      <c r="C34" s="20">
        <f>2758002+29508861</f>
        <v>32266863</v>
      </c>
      <c r="D34" s="12">
        <f>57+97</f>
        <v>154</v>
      </c>
      <c r="E34" s="21">
        <f>2758002+6542396+22966465</f>
        <v>32266863</v>
      </c>
      <c r="F34" s="12">
        <v>0</v>
      </c>
      <c r="G34" s="12">
        <v>0</v>
      </c>
      <c r="H34" s="12">
        <f>0+0</f>
        <v>0</v>
      </c>
      <c r="I34" s="12">
        <v>0</v>
      </c>
      <c r="J34" s="12">
        <f>154-153</f>
        <v>1</v>
      </c>
      <c r="K34" s="13">
        <f>32266863-32026672</f>
        <v>240191</v>
      </c>
      <c r="L34" s="12">
        <f>1</f>
        <v>1</v>
      </c>
      <c r="M34" s="13">
        <f>240191</f>
        <v>240191</v>
      </c>
      <c r="N34" s="22"/>
    </row>
    <row r="35" spans="1:14" s="1" customFormat="1" ht="24.75" customHeight="1">
      <c r="A35" s="17" t="s">
        <v>44</v>
      </c>
      <c r="B35" s="12">
        <f>71+84</f>
        <v>155</v>
      </c>
      <c r="C35" s="20">
        <f>13186995+21008690</f>
        <v>34195685</v>
      </c>
      <c r="D35" s="12">
        <f>70+84</f>
        <v>154</v>
      </c>
      <c r="E35" s="21">
        <f>7867891+21657+20195879+812811</f>
        <v>28898238</v>
      </c>
      <c r="F35" s="12">
        <f>1+0</f>
        <v>1</v>
      </c>
      <c r="G35" s="12">
        <f>1+0</f>
        <v>1</v>
      </c>
      <c r="H35" s="12">
        <f>0+0</f>
        <v>0</v>
      </c>
      <c r="I35" s="12">
        <v>0</v>
      </c>
      <c r="J35" s="12">
        <f>154-109</f>
        <v>45</v>
      </c>
      <c r="K35" s="13">
        <f>28898238-12252464</f>
        <v>16645774</v>
      </c>
      <c r="L35" s="12">
        <f>45</f>
        <v>45</v>
      </c>
      <c r="M35" s="13">
        <f>16645774</f>
        <v>16645774</v>
      </c>
      <c r="N35" s="22"/>
    </row>
    <row r="36" spans="1:14" s="1" customFormat="1" ht="24.75" customHeight="1">
      <c r="A36" s="17" t="s">
        <v>5</v>
      </c>
      <c r="B36" s="21">
        <f aca="true" t="shared" si="0" ref="B36:M36">SUM(B2:B35)</f>
        <v>6124</v>
      </c>
      <c r="C36" s="21">
        <f t="shared" si="0"/>
        <v>3052379456</v>
      </c>
      <c r="D36" s="21">
        <f t="shared" si="0"/>
        <v>6103</v>
      </c>
      <c r="E36" s="21">
        <f t="shared" si="0"/>
        <v>1941778855</v>
      </c>
      <c r="F36" s="19">
        <f t="shared" si="0"/>
        <v>21</v>
      </c>
      <c r="G36" s="12">
        <f t="shared" si="0"/>
        <v>4</v>
      </c>
      <c r="H36" s="21">
        <f t="shared" si="0"/>
        <v>17</v>
      </c>
      <c r="I36" s="12">
        <f t="shared" si="0"/>
        <v>0</v>
      </c>
      <c r="J36" s="24">
        <f t="shared" si="0"/>
        <v>47</v>
      </c>
      <c r="K36" s="13">
        <f t="shared" si="0"/>
        <v>16885965</v>
      </c>
      <c r="L36" s="24">
        <f>SUM(L2:L35)</f>
        <v>47</v>
      </c>
      <c r="M36" s="21">
        <f t="shared" si="0"/>
        <v>16885965</v>
      </c>
      <c r="N36" s="22"/>
    </row>
    <row r="37" spans="1:14" s="1" customFormat="1" ht="24" customHeight="1">
      <c r="A37" s="27" t="s">
        <v>34</v>
      </c>
      <c r="B37" s="28"/>
      <c r="C37" s="28"/>
      <c r="D37" s="28"/>
      <c r="E37" s="28"/>
      <c r="F37" s="28"/>
      <c r="G37" s="28"/>
      <c r="H37" s="28"/>
      <c r="I37" s="28"/>
      <c r="J37" s="28"/>
      <c r="K37" s="28"/>
      <c r="L37" s="28"/>
      <c r="M37" s="28"/>
      <c r="N37" s="3"/>
    </row>
    <row r="38" spans="1:13" s="4" customFormat="1" ht="30" customHeight="1">
      <c r="A38" s="29"/>
      <c r="B38" s="29"/>
      <c r="C38" s="29"/>
      <c r="D38" s="29"/>
      <c r="E38" s="29"/>
      <c r="F38" s="29"/>
      <c r="G38" s="29"/>
      <c r="H38" s="29"/>
      <c r="I38" s="29"/>
      <c r="J38" s="29"/>
      <c r="K38" s="29"/>
      <c r="L38" s="29"/>
      <c r="M38" s="29"/>
    </row>
    <row r="39" spans="1:5" s="1" customFormat="1" ht="30" customHeight="1">
      <c r="A39" s="30"/>
      <c r="B39" s="30"/>
      <c r="C39" s="30"/>
      <c r="E39" s="5"/>
    </row>
    <row r="40" spans="3:9" s="1" customFormat="1" ht="30" customHeight="1">
      <c r="C40" s="6"/>
      <c r="E40" s="5"/>
      <c r="H40" s="25"/>
      <c r="I40" s="7"/>
    </row>
    <row r="41" spans="3:9" s="1" customFormat="1" ht="30" customHeight="1">
      <c r="C41" s="6"/>
      <c r="E41" s="5"/>
      <c r="I41" s="8"/>
    </row>
    <row r="42" spans="3:5" s="1" customFormat="1" ht="30" customHeight="1">
      <c r="C42" s="6"/>
      <c r="E42" s="5"/>
    </row>
    <row r="43" spans="1:5" s="1" customFormat="1" ht="30" customHeight="1">
      <c r="A43" s="30"/>
      <c r="B43" s="30"/>
      <c r="C43" s="30"/>
      <c r="D43" s="30"/>
      <c r="E43" s="30"/>
    </row>
    <row r="44" spans="1:5" s="1" customFormat="1" ht="30" customHeight="1">
      <c r="A44" s="30"/>
      <c r="B44" s="30"/>
      <c r="C44" s="30"/>
      <c r="D44" s="30"/>
      <c r="E44" s="30"/>
    </row>
  </sheetData>
  <sheetProtection/>
  <mergeCells count="4">
    <mergeCell ref="A37:M37"/>
    <mergeCell ref="A38:M38"/>
    <mergeCell ref="A39:C39"/>
    <mergeCell ref="A43:E44"/>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&amp;R&amp;"+,標準"&amp;11截至101.03&amp;"Times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josephine</cp:lastModifiedBy>
  <cp:lastPrinted>2012-04-12T06:45:36Z</cp:lastPrinted>
  <dcterms:created xsi:type="dcterms:W3CDTF">1999-01-27T09:01:03Z</dcterms:created>
  <dcterms:modified xsi:type="dcterms:W3CDTF">2012-04-19T02:04:14Z</dcterms:modified>
  <cp:category/>
  <cp:version/>
  <cp:contentType/>
  <cp:contentStatus/>
</cp:coreProperties>
</file>